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4064\Desktop\"/>
    </mc:Choice>
  </mc:AlternateContent>
  <xr:revisionPtr revIDLastSave="0" documentId="13_ncr:1_{0D315BBA-F1CD-4528-BFB7-D292A24A4A19}" xr6:coauthVersionLast="47" xr6:coauthVersionMax="47" xr10:uidLastSave="{00000000-0000-0000-0000-000000000000}"/>
  <bookViews>
    <workbookView xWindow="-38520" yWindow="-120" windowWidth="38640" windowHeight="21840" activeTab="1" xr2:uid="{F0FE5812-371F-4FB7-82E0-BAFD837876E6}"/>
  </bookViews>
  <sheets>
    <sheet name="Stats" sheetId="7" r:id="rId1"/>
    <sheet name="2025-2026" sheetId="6" r:id="rId2"/>
    <sheet name="2024-2025" sheetId="5" r:id="rId3"/>
    <sheet name="2023-2024" sheetId="4" r:id="rId4"/>
    <sheet name="2022-2023" sheetId="3" r:id="rId5"/>
    <sheet name="2021-2022" sheetId="2" r:id="rId6"/>
  </sheets>
  <definedNames>
    <definedName name="_xlnm._FilterDatabase" localSheetId="0" hidden="1">Stats!$A$1:$M$30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7" l="1"/>
  <c r="R5" i="7" s="1"/>
  <c r="H2" i="7"/>
  <c r="K2" i="7"/>
  <c r="H3" i="7"/>
  <c r="K3" i="7"/>
  <c r="Q3" i="7"/>
  <c r="S3" i="7"/>
  <c r="H4" i="7"/>
  <c r="K4" i="7"/>
  <c r="Q4" i="7"/>
  <c r="R4" i="7"/>
  <c r="S4" i="7"/>
  <c r="H5" i="7"/>
  <c r="K5" i="7"/>
  <c r="Q5" i="7"/>
  <c r="S5" i="7"/>
  <c r="H6" i="7"/>
  <c r="K6" i="7"/>
  <c r="Q6" i="7"/>
  <c r="S6" i="7"/>
  <c r="H7" i="7"/>
  <c r="K7" i="7"/>
  <c r="Q7" i="7"/>
  <c r="R7" i="7"/>
  <c r="S7" i="7"/>
  <c r="H8" i="7"/>
  <c r="K8" i="7"/>
  <c r="P8" i="7"/>
  <c r="Q8" i="7"/>
  <c r="R8" i="7"/>
  <c r="S8" i="7"/>
  <c r="C9" i="7"/>
  <c r="P5" i="7" s="1"/>
  <c r="H9" i="7"/>
  <c r="K9" i="7"/>
  <c r="P9" i="7"/>
  <c r="Q9" i="7"/>
  <c r="R9" i="7"/>
  <c r="S9" i="7"/>
  <c r="H10" i="7"/>
  <c r="K10" i="7"/>
  <c r="P10" i="7"/>
  <c r="Q10" i="7"/>
  <c r="R10" i="7"/>
  <c r="S10" i="7"/>
  <c r="H11" i="7"/>
  <c r="K11" i="7"/>
  <c r="P11" i="7"/>
  <c r="Q11" i="7"/>
  <c r="R11" i="7"/>
  <c r="S11" i="7"/>
  <c r="H12" i="7"/>
  <c r="K12" i="7"/>
  <c r="P12" i="7"/>
  <c r="Q12" i="7"/>
  <c r="R12" i="7"/>
  <c r="S12" i="7"/>
  <c r="C13" i="7"/>
  <c r="P3" i="7" s="1"/>
  <c r="H13" i="7"/>
  <c r="K13" i="7"/>
  <c r="P13" i="7"/>
  <c r="Q13" i="7"/>
  <c r="R13" i="7"/>
  <c r="S13" i="7"/>
  <c r="H14" i="7"/>
  <c r="K14" i="7"/>
  <c r="P14" i="7"/>
  <c r="Q14" i="7"/>
  <c r="R14" i="7"/>
  <c r="S14" i="7"/>
  <c r="H15" i="7"/>
  <c r="K15" i="7"/>
  <c r="P15" i="7"/>
  <c r="Q15" i="7"/>
  <c r="R15" i="7"/>
  <c r="S15" i="7"/>
  <c r="H16" i="7"/>
  <c r="K16" i="7"/>
  <c r="P16" i="7"/>
  <c r="Q16" i="7"/>
  <c r="R16" i="7"/>
  <c r="S16" i="7"/>
  <c r="F17" i="7"/>
  <c r="R6" i="7" s="1"/>
  <c r="H17" i="7"/>
  <c r="K17" i="7"/>
  <c r="H18" i="7"/>
  <c r="K18" i="7"/>
  <c r="H19" i="7"/>
  <c r="K19" i="7"/>
  <c r="H20" i="7"/>
  <c r="K20" i="7"/>
  <c r="H21" i="7"/>
  <c r="K21" i="7"/>
  <c r="H22" i="7"/>
  <c r="K22" i="7"/>
  <c r="H23" i="7"/>
  <c r="K23" i="7"/>
  <c r="H24" i="7"/>
  <c r="K24" i="7"/>
  <c r="H25" i="7"/>
  <c r="K25" i="7"/>
  <c r="H26" i="7"/>
  <c r="K26" i="7"/>
  <c r="H27" i="7"/>
  <c r="K27" i="7"/>
  <c r="H28" i="7"/>
  <c r="K28" i="7"/>
  <c r="H29" i="7"/>
  <c r="K29" i="7"/>
  <c r="H30" i="7"/>
  <c r="K30" i="7"/>
  <c r="P4" i="7" l="1"/>
  <c r="P7" i="7"/>
  <c r="P6" i="7"/>
  <c r="M12" i="6"/>
  <c r="K12" i="6"/>
  <c r="I12" i="6"/>
  <c r="G12" i="6"/>
  <c r="C12" i="6"/>
  <c r="M11" i="5"/>
  <c r="K11" i="5"/>
  <c r="I11" i="5"/>
  <c r="G11" i="5"/>
  <c r="C11" i="5"/>
  <c r="C11" i="4"/>
  <c r="M11" i="4"/>
  <c r="I11" i="4"/>
  <c r="K11" i="4"/>
  <c r="G11" i="4"/>
</calcChain>
</file>

<file path=xl/sharedStrings.xml><?xml version="1.0" encoding="utf-8"?>
<sst xmlns="http://schemas.openxmlformats.org/spreadsheetml/2006/main" count="531" uniqueCount="203">
  <si>
    <t>Season</t>
  </si>
  <si>
    <t>1st 1" Snow</t>
  </si>
  <si>
    <t>JulianDate</t>
  </si>
  <si>
    <t xml:space="preserve">Coldest Min ( F ) </t>
  </si>
  <si>
    <t>Date of Coldest Min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</si>
  <si>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</si>
  <si>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</si>
  <si>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</si>
  <si>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</si>
  <si>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</si>
  <si>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</si>
  <si>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</si>
  <si>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</si>
  <si>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</si>
  <si>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</si>
  <si>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</si>
  <si>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</si>
  <si>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</si>
  <si>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</si>
  <si>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1st 1"</t>
  </si>
  <si>
    <t>2018-2019</t>
  </si>
  <si>
    <t>Avg ENSO All &gt;0</t>
  </si>
  <si>
    <t>Avg ENSO 0</t>
  </si>
  <si>
    <t>Avg ENSO -.1 - -.5</t>
  </si>
  <si>
    <t>Avg ENSO All &lt; 0</t>
  </si>
  <si>
    <t>Avg ENSO &gt; 1.5</t>
  </si>
  <si>
    <t>Avg ENSO &lt; -1.5</t>
  </si>
  <si>
    <t>Avg ENSO -1.1 - -1.5</t>
  </si>
  <si>
    <t>Avg ENSO -.6 - -1.0</t>
  </si>
  <si>
    <t>Data Points</t>
  </si>
  <si>
    <t>Avg ENSO 0.1 - 0.5</t>
  </si>
  <si>
    <t>Avg ENSO 0.6 - 1.0</t>
  </si>
  <si>
    <t>Avg ENSO 1.1 - 1.5</t>
  </si>
  <si>
    <t>Coldest Min (F)</t>
  </si>
  <si>
    <t>2019-2020</t>
  </si>
  <si>
    <t>Average</t>
  </si>
  <si>
    <t>Earliest (or coldest)</t>
  </si>
  <si>
    <t>Latest (or warmest)</t>
  </si>
  <si>
    <t>Date Coldest</t>
  </si>
  <si>
    <t>Enso Winter Peak (OND - FMA)</t>
  </si>
  <si>
    <t>Dec</t>
  </si>
  <si>
    <t>DJF Coldest Anom</t>
  </si>
  <si>
    <t>DJF Warmest Anom</t>
  </si>
  <si>
    <t>DJF Coldest Anom Month</t>
  </si>
  <si>
    <t>DJF Warmest Anom Month</t>
  </si>
  <si>
    <t>Feb</t>
  </si>
  <si>
    <t>Jan</t>
  </si>
  <si>
    <t>Numerical val of month</t>
  </si>
  <si>
    <t>2020-2021</t>
  </si>
  <si>
    <t>Date of 1st 1" Snow</t>
  </si>
  <si>
    <t>Date of Coldest Min (Deg F)</t>
  </si>
  <si>
    <t>DJF Coldest Anomaly Month</t>
  </si>
  <si>
    <t>DJF Warmest Anomaly Month</t>
  </si>
  <si>
    <t>Nov 25 Rodojev</t>
  </si>
  <si>
    <t>Jan 25 Rodojev</t>
  </si>
  <si>
    <t>Dec Rodojev</t>
  </si>
  <si>
    <t>Feb Rodojev</t>
  </si>
  <si>
    <t>Dec 15 Fairweather</t>
  </si>
  <si>
    <t>-3.5 Fairweather</t>
  </si>
  <si>
    <t>Feb 7 Fairweather</t>
  </si>
  <si>
    <t>Jan Fairweather</t>
  </si>
  <si>
    <t>Dec Fairweather</t>
  </si>
  <si>
    <t>Dec 3 Kosarik</t>
  </si>
  <si>
    <t>-4.0 Kosarik</t>
  </si>
  <si>
    <t>-1.0 Rodojev</t>
  </si>
  <si>
    <t>Feb 5 Kosarik</t>
  </si>
  <si>
    <t>Dec Kosarik (+3.5)</t>
  </si>
  <si>
    <t>Feb Kosarik (-1.5)</t>
  </si>
  <si>
    <t>Dec 10 LaPlante</t>
  </si>
  <si>
    <t>-2.0 LaPlante</t>
  </si>
  <si>
    <t>Feb 8 LaPlante</t>
  </si>
  <si>
    <t>Feb LaPlante (-3.4)</t>
  </si>
  <si>
    <t>Dec LaPlante (+5.1)</t>
  </si>
  <si>
    <t>Nov 28 Baker</t>
  </si>
  <si>
    <t>+2.0 Baker</t>
  </si>
  <si>
    <t>Jan 24 Baker</t>
  </si>
  <si>
    <t>Jan Baker</t>
  </si>
  <si>
    <t>Feb Baker</t>
  </si>
  <si>
    <t>Nov 28 Brill</t>
  </si>
  <si>
    <t>0.0 Brill</t>
  </si>
  <si>
    <t>Jan 29 Brill</t>
  </si>
  <si>
    <t>Jan Brill</t>
  </si>
  <si>
    <t>Dec Brill</t>
  </si>
  <si>
    <t>Dec 4 Bodner</t>
  </si>
  <si>
    <t>+1.0 Bodner</t>
  </si>
  <si>
    <t>Jan 30 Bodner</t>
  </si>
  <si>
    <t>Feb Bodner</t>
  </si>
  <si>
    <t>Dec Bodner</t>
  </si>
  <si>
    <t>Nov 30 Manousos</t>
  </si>
  <si>
    <t>-3.0 Manousos</t>
  </si>
  <si>
    <t>Feb 1 Manousos</t>
  </si>
  <si>
    <t>Dec Manousos (+3.0)</t>
  </si>
  <si>
    <t>Jan Manousos (+0.5)</t>
  </si>
  <si>
    <t xml:space="preserve">Nov 24 Climo Weak La Nina </t>
  </si>
  <si>
    <t>-4.0 Climo Weak La Nina</t>
  </si>
  <si>
    <t>Jan 18 Climo Weak La Nina</t>
  </si>
  <si>
    <t>(Climo not available)</t>
  </si>
  <si>
    <t>Dec 4-5 Mid Range of Participants</t>
  </si>
  <si>
    <t>-1.6 Average of participants</t>
  </si>
  <si>
    <t>Jan 28-29 Mid Range of Participants</t>
  </si>
  <si>
    <t>Jan Mode of Participants</t>
  </si>
  <si>
    <t>Dec Mode of Participants</t>
  </si>
  <si>
    <t>2021-2022</t>
  </si>
  <si>
    <t>Coldest Min (Deg F)</t>
  </si>
  <si>
    <t>-2.0 (Manousos)</t>
  </si>
  <si>
    <t>Jan 23 2023 (Manousos)</t>
  </si>
  <si>
    <t>Nov 20 2022 (Manousos)</t>
  </si>
  <si>
    <t>Nov 18 2022 (Laplante)</t>
  </si>
  <si>
    <t>-4.0 (Laplante)</t>
  </si>
  <si>
    <t>Jan 22 2023 (Laplante)</t>
  </si>
  <si>
    <t>Nov 28 2022 (Baker)</t>
  </si>
  <si>
    <t>-3.0 (Baker)</t>
  </si>
  <si>
    <t>Jan 17 2023 (Baker)</t>
  </si>
  <si>
    <t>Nov 22 2022 (Rodojev)</t>
  </si>
  <si>
    <t>Jan 26 2023 (Rodojev)</t>
  </si>
  <si>
    <t>Dec 5 2022 (Kosarik)</t>
  </si>
  <si>
    <t>2.0 (Kosarik)</t>
  </si>
  <si>
    <t>Jan 31 2023 (Kosarik)</t>
  </si>
  <si>
    <t>Jan (Baker)</t>
  </si>
  <si>
    <t>Feb (Baker)</t>
  </si>
  <si>
    <t>Jan (Manousos -2.0)</t>
  </si>
  <si>
    <t>Feb (Manousos +6.0)</t>
  </si>
  <si>
    <t>Jan (Laplante +3.1)</t>
  </si>
  <si>
    <t>Feb (Laplante +4.3)</t>
  </si>
  <si>
    <t>Jan (Rodojev -2.5)</t>
  </si>
  <si>
    <t>Dec (Kosarik)</t>
  </si>
  <si>
    <t>Dec (Rodojev +1.2)</t>
  </si>
  <si>
    <t>Jan (Kosarik)</t>
  </si>
  <si>
    <t>Dec 7 2022 (Bodner)</t>
  </si>
  <si>
    <t>-4.0 (Bodner)</t>
  </si>
  <si>
    <t>Jan 10 2023 (Bodner)</t>
  </si>
  <si>
    <t>Jan (Bodner)</t>
  </si>
  <si>
    <t>Feb (Bodner)</t>
  </si>
  <si>
    <t>Dec 8 2022 (Fairweather)</t>
  </si>
  <si>
    <t>-4.0 (Fairweather)</t>
  </si>
  <si>
    <t>Feb 4 2023 (Fairweather)</t>
  </si>
  <si>
    <t>Dec (Fairweather)</t>
  </si>
  <si>
    <t>Jan (Fairweather)</t>
  </si>
  <si>
    <t>Nov 30 2022 (Brill)</t>
  </si>
  <si>
    <t>-1.0 (Brill)</t>
  </si>
  <si>
    <t>Feb 3 2023 (Brill)</t>
  </si>
  <si>
    <t>Dec (Brill)</t>
  </si>
  <si>
    <t>Feb (Brill)</t>
  </si>
  <si>
    <t>Nov 24 2022 (ENSO Specific Climo)</t>
  </si>
  <si>
    <t>-3.4 (ENSO Specific Climo)</t>
  </si>
  <si>
    <t>Jan 18 2023 (ENSO Specific Climo)</t>
  </si>
  <si>
    <t>Jan (Consensus -0.5)</t>
  </si>
  <si>
    <t>-2.0 (Consensus)</t>
  </si>
  <si>
    <t>Jan 24 2023 (Consensus)</t>
  </si>
  <si>
    <t>Nov 28 2022 (Consensus)</t>
  </si>
  <si>
    <t>0.0 (Rodojev)</t>
  </si>
  <si>
    <t>na (ENSO Specific Climo)</t>
  </si>
  <si>
    <t>Feb (Consensus +3.8)</t>
  </si>
  <si>
    <t>2022-2023</t>
  </si>
  <si>
    <t>Forecaster</t>
  </si>
  <si>
    <t>Coldest Temp</t>
  </si>
  <si>
    <t>Date of Coldest Temp</t>
  </si>
  <si>
    <t>DJF Coldest month</t>
  </si>
  <si>
    <t>DJF Warmest Month</t>
  </si>
  <si>
    <t>Date of 1st Snow</t>
  </si>
  <si>
    <t>20231205</t>
  </si>
  <si>
    <t>LaPlante</t>
  </si>
  <si>
    <t>Laplante</t>
  </si>
  <si>
    <t>20240210</t>
  </si>
  <si>
    <t>DJF Coldest Anomaly</t>
  </si>
  <si>
    <t>DJF Warmest Anomaly</t>
  </si>
  <si>
    <t>20231126</t>
  </si>
  <si>
    <t>Rodojev</t>
  </si>
  <si>
    <t>20240213</t>
  </si>
  <si>
    <t>20231218</t>
  </si>
  <si>
    <t>Kosarik</t>
  </si>
  <si>
    <t>20240208</t>
  </si>
  <si>
    <t>np</t>
  </si>
  <si>
    <t>Fairweather</t>
  </si>
  <si>
    <t>20231204</t>
  </si>
  <si>
    <t>20240125</t>
  </si>
  <si>
    <t>20231101</t>
  </si>
  <si>
    <t>Baker</t>
  </si>
  <si>
    <t>20240122</t>
  </si>
  <si>
    <t>Manousos</t>
  </si>
  <si>
    <t>Bodner</t>
  </si>
  <si>
    <t>Brill</t>
  </si>
  <si>
    <t>20231206</t>
  </si>
  <si>
    <t>20240206</t>
  </si>
  <si>
    <t>20231202</t>
  </si>
  <si>
    <t>20240205</t>
  </si>
  <si>
    <t>Climo</t>
  </si>
  <si>
    <t>Actual</t>
  </si>
  <si>
    <t>Mean</t>
  </si>
  <si>
    <t>Mode</t>
  </si>
  <si>
    <t>2.0</t>
  </si>
  <si>
    <t>20240115</t>
  </si>
  <si>
    <t>2023-2024</t>
  </si>
  <si>
    <t>CAK Seasons 04-05' thru last winter</t>
  </si>
  <si>
    <t>20241203</t>
  </si>
  <si>
    <t>20241121</t>
  </si>
  <si>
    <t>-10.0</t>
  </si>
  <si>
    <t>2024-2025</t>
  </si>
  <si>
    <t>20250122</t>
  </si>
  <si>
    <t>Rodjev</t>
  </si>
  <si>
    <t>La Plante</t>
  </si>
  <si>
    <t>Kolts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</si>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</sst>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40C2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22">
    <xf numFmtId="0" fontId="0" fillId="0" borderId="0" xfId="0"/>
    <xf numFmtId="16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/>
    <xf numFmtId="16" fontId="0" fillId="0" borderId="0" xfId="0" applyNumberForma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7" fillId="0" borderId="1" xfId="0" applyFont="1" applyBorder="1"/>
    <xf numFmtId="1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16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1" fillId="0" borderId="1" xfId="0" applyFont="1" applyBorder="1"/>
    <xf numFmtId="16" fontId="11" fillId="0" borderId="1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5" fillId="3" borderId="2" xfId="0" applyFont="1" applyFill="1" applyBorder="1" applyAlignment="1">
      <alignment horizontal="left"/>
    </xf>
    <xf numFmtId="0" fontId="6" fillId="2" borderId="1" xfId="0" applyFont="1" applyFill="1" applyBorder="1"/>
    <xf numFmtId="16" fontId="6" fillId="2" borderId="1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/>
    <xf numFmtId="164" fontId="13" fillId="0" borderId="0" xfId="0" applyNumberFormat="1" applyFont="1"/>
    <xf numFmtId="164" fontId="3" fillId="0" borderId="0" xfId="0" applyNumberFormat="1" applyFont="1"/>
    <xf numFmtId="164" fontId="14" fillId="0" borderId="0" xfId="0" applyNumberFormat="1" applyFont="1"/>
    <xf numFmtId="0" fontId="15" fillId="0" borderId="1" xfId="0" applyFont="1" applyBorder="1"/>
    <xf numFmtId="0" fontId="10" fillId="0" borderId="1" xfId="0" applyFont="1" applyBorder="1"/>
    <xf numFmtId="164" fontId="0" fillId="0" borderId="0" xfId="0" applyNumberFormat="1"/>
    <xf numFmtId="0" fontId="16" fillId="0" borderId="0" xfId="0" applyFont="1"/>
    <xf numFmtId="49" fontId="0" fillId="0" borderId="0" xfId="0" applyNumberFormat="1"/>
    <xf numFmtId="0" fontId="6" fillId="0" borderId="0" xfId="0" applyFont="1"/>
    <xf numFmtId="49" fontId="17" fillId="0" borderId="0" xfId="0" applyNumberFormat="1" applyFont="1"/>
    <xf numFmtId="49" fontId="18" fillId="0" borderId="0" xfId="0" applyNumberFormat="1" applyFont="1"/>
    <xf numFmtId="49" fontId="19" fillId="0" borderId="0" xfId="0" applyNumberFormat="1" applyFont="1"/>
    <xf numFmtId="49" fontId="11" fillId="0" borderId="0" xfId="0" applyNumberFormat="1" applyFont="1"/>
    <xf numFmtId="49" fontId="3" fillId="0" borderId="0" xfId="0" applyNumberFormat="1" applyFont="1"/>
    <xf numFmtId="49" fontId="20" fillId="0" borderId="0" xfId="0" applyNumberFormat="1" applyFont="1"/>
    <xf numFmtId="0" fontId="19" fillId="0" borderId="0" xfId="0" applyFo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49" fontId="19" fillId="0" borderId="6" xfId="0" applyNumberFormat="1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/>
    </xf>
    <xf numFmtId="164" fontId="19" fillId="0" borderId="5" xfId="0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0" fontId="19" fillId="0" borderId="6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49" fontId="19" fillId="0" borderId="9" xfId="0" applyNumberFormat="1" applyFont="1" applyBorder="1" applyAlignment="1">
      <alignment horizontal="right"/>
    </xf>
    <xf numFmtId="164" fontId="19" fillId="0" borderId="8" xfId="0" applyNumberFormat="1" applyFont="1" applyBorder="1" applyAlignment="1">
      <alignment horizontal="right"/>
    </xf>
    <xf numFmtId="49" fontId="19" fillId="0" borderId="8" xfId="0" applyNumberFormat="1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1" fontId="19" fillId="0" borderId="5" xfId="1" applyNumberFormat="1" applyFont="1" applyBorder="1" applyAlignment="1">
      <alignment horizontal="right"/>
    </xf>
    <xf numFmtId="1" fontId="19" fillId="0" borderId="7" xfId="1" applyNumberFormat="1" applyFont="1" applyBorder="1" applyAlignment="1">
      <alignment horizontal="right"/>
    </xf>
    <xf numFmtId="1" fontId="19" fillId="0" borderId="0" xfId="0" applyNumberFormat="1" applyFont="1" applyAlignment="1">
      <alignment horizontal="right"/>
    </xf>
    <xf numFmtId="1" fontId="19" fillId="0" borderId="3" xfId="1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right"/>
    </xf>
    <xf numFmtId="49" fontId="19" fillId="0" borderId="7" xfId="0" applyNumberFormat="1" applyFont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49" fontId="19" fillId="0" borderId="10" xfId="0" applyNumberFormat="1" applyFont="1" applyBorder="1" applyAlignment="1">
      <alignment horizontal="right"/>
    </xf>
    <xf numFmtId="49" fontId="19" fillId="0" borderId="12" xfId="0" applyNumberFormat="1" applyFont="1" applyBorder="1" applyAlignment="1">
      <alignment horizontal="right"/>
    </xf>
    <xf numFmtId="164" fontId="0" fillId="0" borderId="10" xfId="0" applyNumberFormat="1" applyBorder="1"/>
    <xf numFmtId="49" fontId="19" fillId="0" borderId="11" xfId="0" applyNumberFormat="1" applyFont="1" applyBorder="1" applyAlignment="1">
      <alignment horizontal="right"/>
    </xf>
    <xf numFmtId="0" fontId="0" fillId="0" borderId="10" xfId="0" applyBorder="1"/>
    <xf numFmtId="1" fontId="19" fillId="0" borderId="11" xfId="0" applyNumberFormat="1" applyFont="1" applyBorder="1" applyAlignment="1">
      <alignment horizontal="right"/>
    </xf>
    <xf numFmtId="0" fontId="22" fillId="0" borderId="0" xfId="0" applyFont="1"/>
    <xf numFmtId="1" fontId="19" fillId="0" borderId="8" xfId="0" applyNumberFormat="1" applyFont="1" applyBorder="1" applyAlignment="1">
      <alignment horizontal="right"/>
    </xf>
    <xf numFmtId="164" fontId="19" fillId="0" borderId="7" xfId="0" applyNumberFormat="1" applyFont="1" applyBorder="1" applyAlignment="1">
      <alignment horizontal="right"/>
    </xf>
    <xf numFmtId="49" fontId="19" fillId="4" borderId="4" xfId="0" applyNumberFormat="1" applyFont="1" applyFill="1" applyBorder="1" applyAlignment="1">
      <alignment horizontal="right"/>
    </xf>
    <xf numFmtId="49" fontId="19" fillId="4" borderId="0" xfId="0" applyNumberFormat="1" applyFont="1" applyFill="1" applyAlignment="1">
      <alignment horizontal="right"/>
    </xf>
    <xf numFmtId="49" fontId="19" fillId="4" borderId="6" xfId="0" applyNumberFormat="1" applyFont="1" applyFill="1" applyBorder="1" applyAlignment="1">
      <alignment horizontal="right"/>
    </xf>
    <xf numFmtId="0" fontId="19" fillId="4" borderId="6" xfId="0" applyFont="1" applyFill="1" applyBorder="1" applyAlignment="1">
      <alignment horizontal="right"/>
    </xf>
    <xf numFmtId="49" fontId="19" fillId="4" borderId="9" xfId="0" applyNumberFormat="1" applyFont="1" applyFill="1" applyBorder="1" applyAlignment="1">
      <alignment horizontal="right"/>
    </xf>
    <xf numFmtId="1" fontId="19" fillId="4" borderId="3" xfId="1" applyNumberFormat="1" applyFont="1" applyFill="1" applyBorder="1" applyAlignment="1">
      <alignment horizontal="right"/>
    </xf>
    <xf numFmtId="164" fontId="19" fillId="4" borderId="0" xfId="0" applyNumberFormat="1" applyFont="1" applyFill="1" applyAlignment="1">
      <alignment horizontal="right"/>
    </xf>
    <xf numFmtId="1" fontId="19" fillId="4" borderId="5" xfId="1" applyNumberFormat="1" applyFont="1" applyFill="1" applyBorder="1" applyAlignment="1">
      <alignment horizontal="right"/>
    </xf>
    <xf numFmtId="1" fontId="19" fillId="4" borderId="0" xfId="0" applyNumberFormat="1" applyFont="1" applyFill="1" applyAlignment="1">
      <alignment horizontal="right"/>
    </xf>
    <xf numFmtId="0" fontId="19" fillId="4" borderId="0" xfId="0" applyFont="1" applyFill="1" applyAlignment="1">
      <alignment horizontal="right"/>
    </xf>
    <xf numFmtId="0" fontId="19" fillId="4" borderId="3" xfId="0" applyFont="1" applyFill="1" applyBorder="1" applyAlignment="1">
      <alignment horizontal="right"/>
    </xf>
    <xf numFmtId="164" fontId="19" fillId="4" borderId="5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horizontal="right"/>
    </xf>
    <xf numFmtId="1" fontId="19" fillId="4" borderId="8" xfId="0" applyNumberFormat="1" applyFont="1" applyFill="1" applyBorder="1" applyAlignment="1">
      <alignment horizontal="right"/>
    </xf>
    <xf numFmtId="1" fontId="19" fillId="4" borderId="11" xfId="0" applyNumberFormat="1" applyFont="1" applyFill="1" applyBorder="1" applyAlignment="1">
      <alignment horizontal="right"/>
    </xf>
    <xf numFmtId="49" fontId="19" fillId="4" borderId="11" xfId="0" applyNumberFormat="1" applyFont="1" applyFill="1" applyBorder="1" applyAlignment="1">
      <alignment horizontal="right"/>
    </xf>
    <xf numFmtId="49" fontId="19" fillId="5" borderId="7" xfId="0" applyNumberFormat="1" applyFont="1" applyFill="1" applyBorder="1" applyAlignment="1">
      <alignment horizontal="right"/>
    </xf>
    <xf numFmtId="49" fontId="19" fillId="5" borderId="9" xfId="0" applyNumberFormat="1" applyFont="1" applyFill="1" applyBorder="1" applyAlignment="1">
      <alignment horizontal="right"/>
    </xf>
    <xf numFmtId="49" fontId="19" fillId="5" borderId="8" xfId="0" applyNumberFormat="1" applyFont="1" applyFill="1" applyBorder="1" applyAlignment="1">
      <alignment horizontal="right"/>
    </xf>
    <xf numFmtId="0" fontId="19" fillId="5" borderId="8" xfId="0" applyFont="1" applyFill="1" applyBorder="1" applyAlignment="1">
      <alignment horizontal="right"/>
    </xf>
    <xf numFmtId="0" fontId="19" fillId="5" borderId="7" xfId="0" applyFont="1" applyFill="1" applyBorder="1" applyAlignment="1">
      <alignment horizontal="right"/>
    </xf>
    <xf numFmtId="1" fontId="19" fillId="0" borderId="3" xfId="1" applyNumberFormat="1" applyFont="1" applyFill="1" applyBorder="1" applyAlignment="1">
      <alignment horizontal="right"/>
    </xf>
    <xf numFmtId="49" fontId="19" fillId="0" borderId="4" xfId="0" applyNumberFormat="1" applyFont="1" applyFill="1" applyBorder="1" applyAlignment="1">
      <alignment horizontal="right"/>
    </xf>
    <xf numFmtId="164" fontId="19" fillId="0" borderId="0" xfId="0" applyNumberFormat="1" applyFont="1" applyFill="1" applyAlignment="1">
      <alignment horizontal="right"/>
    </xf>
    <xf numFmtId="1" fontId="19" fillId="0" borderId="0" xfId="0" applyNumberFormat="1" applyFont="1" applyFill="1" applyAlignment="1">
      <alignment horizontal="right"/>
    </xf>
    <xf numFmtId="164" fontId="19" fillId="0" borderId="3" xfId="0" applyNumberFormat="1" applyFont="1" applyFill="1" applyBorder="1" applyAlignment="1">
      <alignment horizontal="right"/>
    </xf>
    <xf numFmtId="1" fontId="19" fillId="0" borderId="5" xfId="1" applyNumberFormat="1" applyFont="1" applyFill="1" applyBorder="1" applyAlignment="1">
      <alignment horizontal="right"/>
    </xf>
    <xf numFmtId="49" fontId="19" fillId="0" borderId="6" xfId="0" applyNumberFormat="1" applyFont="1" applyFill="1" applyBorder="1" applyAlignment="1">
      <alignment horizontal="right"/>
    </xf>
    <xf numFmtId="164" fontId="19" fillId="0" borderId="5" xfId="0" applyNumberFormat="1" applyFont="1" applyFill="1" applyBorder="1" applyAlignment="1">
      <alignment horizontal="right"/>
    </xf>
    <xf numFmtId="0" fontId="19" fillId="0" borderId="0" xfId="0" applyFont="1" applyFill="1" applyAlignment="1">
      <alignment horizontal="right"/>
    </xf>
    <xf numFmtId="1" fontId="19" fillId="0" borderId="7" xfId="1" applyNumberFormat="1" applyFont="1" applyFill="1" applyBorder="1" applyAlignment="1">
      <alignment horizontal="right"/>
    </xf>
    <xf numFmtId="49" fontId="19" fillId="0" borderId="9" xfId="0" applyNumberFormat="1" applyFont="1" applyFill="1" applyBorder="1" applyAlignment="1">
      <alignment horizontal="right"/>
    </xf>
    <xf numFmtId="164" fontId="19" fillId="0" borderId="8" xfId="0" applyNumberFormat="1" applyFont="1" applyFill="1" applyBorder="1" applyAlignment="1">
      <alignment horizontal="right"/>
    </xf>
    <xf numFmtId="1" fontId="19" fillId="0" borderId="8" xfId="0" applyNumberFormat="1" applyFont="1" applyFill="1" applyBorder="1" applyAlignment="1">
      <alignment horizontal="right"/>
    </xf>
    <xf numFmtId="164" fontId="19" fillId="0" borderId="7" xfId="0" applyNumberFormat="1" applyFont="1" applyFill="1" applyBorder="1" applyAlignment="1">
      <alignment horizontal="right"/>
    </xf>
    <xf numFmtId="49" fontId="19" fillId="0" borderId="10" xfId="0" applyNumberFormat="1" applyFont="1" applyFill="1" applyBorder="1" applyAlignment="1">
      <alignment horizontal="right"/>
    </xf>
    <xf numFmtId="49" fontId="19" fillId="0" borderId="12" xfId="0" applyNumberFormat="1" applyFont="1" applyFill="1" applyBorder="1" applyAlignment="1">
      <alignment horizontal="right"/>
    </xf>
    <xf numFmtId="164" fontId="0" fillId="0" borderId="10" xfId="0" applyNumberFormat="1" applyFill="1" applyBorder="1"/>
    <xf numFmtId="49" fontId="19" fillId="0" borderId="11" xfId="0" applyNumberFormat="1" applyFont="1" applyFill="1" applyBorder="1" applyAlignment="1">
      <alignment horizontal="right"/>
    </xf>
    <xf numFmtId="0" fontId="0" fillId="0" borderId="10" xfId="0" applyFill="1" applyBorder="1"/>
    <xf numFmtId="1" fontId="19" fillId="0" borderId="11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49" fontId="19" fillId="0" borderId="0" xfId="0" applyNumberFormat="1" applyFont="1" applyFill="1" applyBorder="1" applyAlignment="1">
      <alignment horizontal="right"/>
    </xf>
    <xf numFmtId="1" fontId="19" fillId="0" borderId="0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D8E2-9770-41ED-9BB5-C24DC464D4FD}">
  <dimension ref="A1:T34"/>
  <sheetViews>
    <sheetView zoomScale="90" zoomScaleNormal="90" workbookViewId="0"/>
  </sheetViews>
  <sheetFormatPr defaultRowHeight="15" x14ac:dyDescent="0.25"/>
  <cols>
    <col min="1" max="1" width="10.5703125" bestFit="1" customWidth="1"/>
    <col min="2" max="2" width="13.5703125" bestFit="1" customWidth="1"/>
    <col min="3" max="3" width="12.5703125" hidden="1" customWidth="1"/>
    <col min="4" max="4" width="18.28515625" bestFit="1" customWidth="1"/>
    <col min="5" max="5" width="21.140625" bestFit="1" customWidth="1"/>
    <col min="6" max="6" width="12.5703125" hidden="1" customWidth="1"/>
    <col min="7" max="7" width="25.140625" bestFit="1" customWidth="1"/>
    <col min="8" max="8" width="23.5703125" hidden="1" customWidth="1"/>
    <col min="9" max="9" width="19.28515625" bestFit="1" customWidth="1"/>
    <col min="10" max="10" width="27.42578125" bestFit="1" customWidth="1"/>
    <col min="11" max="11" width="23.5703125" hidden="1" customWidth="1"/>
    <col min="12" max="12" width="20.85546875" bestFit="1" customWidth="1"/>
    <col min="13" max="13" width="31.140625" customWidth="1"/>
    <col min="14" max="14" width="11.28515625" bestFit="1" customWidth="1"/>
    <col min="15" max="15" width="34.7109375" bestFit="1" customWidth="1"/>
    <col min="16" max="16" width="12.140625" bestFit="1" customWidth="1"/>
    <col min="17" max="17" width="15.7109375" bestFit="1" customWidth="1"/>
    <col min="18" max="18" width="13.42578125" bestFit="1" customWidth="1"/>
    <col min="19" max="19" width="12.28515625" bestFit="1" customWidth="1"/>
    <col min="20" max="20" width="20.5703125" bestFit="1" customWidth="1"/>
    <col min="21" max="21" width="12.28515625" bestFit="1" customWidth="1"/>
  </cols>
  <sheetData>
    <row r="1" spans="1:1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2</v>
      </c>
      <c r="G1" s="3" t="s">
        <v>43</v>
      </c>
      <c r="H1" s="3" t="s">
        <v>47</v>
      </c>
      <c r="I1" s="3" t="s">
        <v>41</v>
      </c>
      <c r="J1" s="3" t="s">
        <v>44</v>
      </c>
      <c r="K1" s="3" t="s">
        <v>47</v>
      </c>
      <c r="L1" s="3" t="s">
        <v>42</v>
      </c>
      <c r="M1" s="3" t="s">
        <v>39</v>
      </c>
    </row>
    <row r="2" spans="1:19" ht="15.75" x14ac:dyDescent="0.25">
      <c r="A2" t="s">
        <v>5</v>
      </c>
      <c r="B2">
        <v>20041211</v>
      </c>
      <c r="C2">
        <v>346</v>
      </c>
      <c r="D2">
        <v>-4</v>
      </c>
      <c r="E2">
        <v>20041220</v>
      </c>
      <c r="F2">
        <f>355-365</f>
        <v>-10</v>
      </c>
      <c r="G2" t="s">
        <v>40</v>
      </c>
      <c r="H2">
        <f>IF(G2="Dec",0,IF(G2="Jan",1,IF(G2="Feb",2,"")))</f>
        <v>0</v>
      </c>
      <c r="I2" s="36">
        <v>-0.7</v>
      </c>
      <c r="J2" t="s">
        <v>45</v>
      </c>
      <c r="K2">
        <f>IF(J2="Dec",0,IF(J2="Jan",1,IF(J2="Feb",2,"")))</f>
        <v>2</v>
      </c>
      <c r="L2" s="36">
        <v>1.7</v>
      </c>
      <c r="M2" s="30">
        <v>0.7</v>
      </c>
      <c r="O2" s="26" t="s">
        <v>193</v>
      </c>
      <c r="P2" s="27" t="s">
        <v>19</v>
      </c>
      <c r="Q2" s="27" t="s">
        <v>33</v>
      </c>
      <c r="R2" s="22" t="s">
        <v>38</v>
      </c>
      <c r="S2" s="22" t="s">
        <v>29</v>
      </c>
    </row>
    <row r="3" spans="1:19" ht="15.75" x14ac:dyDescent="0.25">
      <c r="A3" t="s">
        <v>6</v>
      </c>
      <c r="B3">
        <v>20051122</v>
      </c>
      <c r="C3">
        <v>326</v>
      </c>
      <c r="D3">
        <v>3</v>
      </c>
      <c r="E3">
        <v>20060219</v>
      </c>
      <c r="F3">
        <v>50</v>
      </c>
      <c r="G3" t="s">
        <v>40</v>
      </c>
      <c r="H3">
        <f>IF(G3="Dec",0,IF(G3="Jan",1,IF(G3="Feb",2,"")))</f>
        <v>0</v>
      </c>
      <c r="I3" s="36">
        <v>-4.3</v>
      </c>
      <c r="J3" t="s">
        <v>46</v>
      </c>
      <c r="K3">
        <f>IF(J3="Dec",0,IF(J3="Jan",1,IF(J3="Feb",2,"")))</f>
        <v>1</v>
      </c>
      <c r="L3" s="36">
        <v>12.7</v>
      </c>
      <c r="M3" s="32">
        <v>-0.8</v>
      </c>
      <c r="O3" s="23" t="s">
        <v>36</v>
      </c>
      <c r="P3" s="24">
        <f>MIN(C2:C30)</f>
        <v>315</v>
      </c>
      <c r="Q3" s="29">
        <f>MIN(D2:D30)</f>
        <v>-14</v>
      </c>
      <c r="R3" s="24">
        <v>44185</v>
      </c>
      <c r="S3" s="25">
        <f>COUNT(E2:E30)</f>
        <v>21</v>
      </c>
    </row>
    <row r="4" spans="1:19" ht="15.75" x14ac:dyDescent="0.25">
      <c r="A4" t="s">
        <v>7</v>
      </c>
      <c r="B4">
        <v>20061206</v>
      </c>
      <c r="C4">
        <v>340</v>
      </c>
      <c r="D4">
        <v>-6</v>
      </c>
      <c r="E4">
        <v>20070206</v>
      </c>
      <c r="F4">
        <v>37</v>
      </c>
      <c r="G4" t="s">
        <v>45</v>
      </c>
      <c r="H4">
        <f>IF(G4="Dec",0,IF(G4="Jan",1,IF(G4="Feb",2,"")))</f>
        <v>2</v>
      </c>
      <c r="I4" s="36">
        <v>-10.5</v>
      </c>
      <c r="J4" t="s">
        <v>40</v>
      </c>
      <c r="K4">
        <f>IF(J4="Dec",0,IF(J4="Jan",1,IF(J4="Feb",2,"")))</f>
        <v>0</v>
      </c>
      <c r="L4" s="36">
        <v>6.6</v>
      </c>
      <c r="M4" s="30">
        <v>0.9</v>
      </c>
      <c r="O4" s="23" t="s">
        <v>35</v>
      </c>
      <c r="P4" s="24">
        <f>AVERAGE(C2:C30)</f>
        <v>337.64705882352939</v>
      </c>
      <c r="Q4" s="29">
        <f>AVERAGE(D2:D30)</f>
        <v>-2.6190476190476191</v>
      </c>
      <c r="R4" s="24">
        <f>AVERAGE(F2:F30)</f>
        <v>27.882352941176471</v>
      </c>
      <c r="S4" s="25">
        <f>COUNT(E2:E30)</f>
        <v>21</v>
      </c>
    </row>
    <row r="5" spans="1:19" ht="15.75" x14ac:dyDescent="0.25">
      <c r="A5" t="s">
        <v>8</v>
      </c>
      <c r="B5">
        <v>20071203</v>
      </c>
      <c r="C5">
        <v>337</v>
      </c>
      <c r="D5">
        <v>2</v>
      </c>
      <c r="E5">
        <v>20080210</v>
      </c>
      <c r="F5">
        <v>41</v>
      </c>
      <c r="G5" t="s">
        <v>45</v>
      </c>
      <c r="H5">
        <f>IF(G5="Dec",0,IF(G5="Jan",1,IF(G5="Feb",2,"")))</f>
        <v>2</v>
      </c>
      <c r="I5" s="36">
        <v>-2</v>
      </c>
      <c r="J5" t="s">
        <v>46</v>
      </c>
      <c r="K5">
        <f>IF(J5="Dec",0,IF(J5="Jan",1,IF(J5="Feb",2,"")))</f>
        <v>1</v>
      </c>
      <c r="L5" s="36">
        <v>3.3</v>
      </c>
      <c r="M5" s="33">
        <v>-1.6</v>
      </c>
      <c r="O5" s="23" t="s">
        <v>37</v>
      </c>
      <c r="P5" s="24">
        <f>MAX(C2:C30)</f>
        <v>377</v>
      </c>
      <c r="Q5" s="29">
        <f>MAX(D2:D30)</f>
        <v>8</v>
      </c>
      <c r="R5" s="24">
        <f>MAX(F2:F30)</f>
        <v>51</v>
      </c>
      <c r="S5" s="25">
        <f>COUNT(E2:E30)</f>
        <v>21</v>
      </c>
    </row>
    <row r="6" spans="1:19" ht="15.75" x14ac:dyDescent="0.25">
      <c r="A6" t="s">
        <v>9</v>
      </c>
      <c r="B6">
        <v>20081116</v>
      </c>
      <c r="C6">
        <v>321</v>
      </c>
      <c r="D6">
        <v>-14</v>
      </c>
      <c r="E6">
        <v>20090116</v>
      </c>
      <c r="F6">
        <v>16</v>
      </c>
      <c r="G6" t="s">
        <v>46</v>
      </c>
      <c r="H6">
        <f>IF(G6="Dec",0,IF(G6="Jan",1,IF(G6="Feb",2,"")))</f>
        <v>1</v>
      </c>
      <c r="I6" s="36">
        <v>-6.8</v>
      </c>
      <c r="J6" t="s">
        <v>45</v>
      </c>
      <c r="K6">
        <f>IF(J6="Dec",0,IF(J6="Jan",1,IF(J6="Feb",2,"")))</f>
        <v>2</v>
      </c>
      <c r="L6" s="36">
        <v>1.1000000000000001</v>
      </c>
      <c r="M6" s="32">
        <v>-0.8</v>
      </c>
      <c r="O6" s="10" t="s">
        <v>21</v>
      </c>
      <c r="P6" s="11">
        <f>AVERAGEIF(M2:M30,"&gt;0",C2:C30)</f>
        <v>338.85714285714283</v>
      </c>
      <c r="Q6" s="12">
        <f>AVERAGEIF(M2:M30,"&gt;0",D2:D30)</f>
        <v>-2</v>
      </c>
      <c r="R6" s="11">
        <f>AVERAGEIF(M2:M30,"&gt;0",F2:F30)</f>
        <v>34.285714285714285</v>
      </c>
      <c r="S6" s="10">
        <f>COUNTIF(M2:M19,"&gt;0")</f>
        <v>7</v>
      </c>
    </row>
    <row r="7" spans="1:19" x14ac:dyDescent="0.25">
      <c r="A7" t="s">
        <v>10</v>
      </c>
      <c r="B7">
        <v>20091219</v>
      </c>
      <c r="C7">
        <v>353</v>
      </c>
      <c r="D7">
        <v>2</v>
      </c>
      <c r="E7">
        <v>20100208</v>
      </c>
      <c r="F7">
        <v>39</v>
      </c>
      <c r="G7" t="s">
        <v>45</v>
      </c>
      <c r="H7">
        <f>IF(G7="Dec",0,IF(G7="Jan",1,IF(G7="Feb",2,"")))</f>
        <v>2</v>
      </c>
      <c r="I7" s="36">
        <v>-2.8</v>
      </c>
      <c r="J7" t="s">
        <v>46</v>
      </c>
      <c r="K7">
        <f>IF(J7="Dec",0,IF(J7="Jan",1,IF(J7="Feb",2,"")))</f>
        <v>1</v>
      </c>
      <c r="L7" s="36">
        <v>-0.8</v>
      </c>
      <c r="M7" s="31">
        <v>1.6</v>
      </c>
      <c r="O7" s="14" t="s">
        <v>25</v>
      </c>
      <c r="P7" s="15">
        <f>IFERROR(AVERAGEIFS($C$2:$C$30,$M$2:$M$30,"&gt;1.5",$M$2:$M$30,"&gt;1.5"),"no cases yet")</f>
        <v>365</v>
      </c>
      <c r="Q7" s="16">
        <f>IFERROR(AVERAGEIFS($D$2:$D$30,$M$2:$M$30,"&gt;1.5",$M$2:$M$30,"&gt;1.5"),"no cases yet")</f>
        <v>0.33333333333333331</v>
      </c>
      <c r="R7" s="15">
        <f>IFERROR(AVERAGEIFS($F$2:$F$30,$M$2:$M$30,"&gt;1.5",$M$2:$M$30,"&gt;1.5"),"no cases yet")</f>
        <v>42</v>
      </c>
      <c r="S7" s="5">
        <f>COUNTIF(M2:M30,"&gt;1.5")</f>
        <v>3</v>
      </c>
    </row>
    <row r="8" spans="1:19" x14ac:dyDescent="0.25">
      <c r="A8" t="s">
        <v>11</v>
      </c>
      <c r="B8">
        <v>20101204</v>
      </c>
      <c r="C8">
        <v>338</v>
      </c>
      <c r="D8">
        <v>-2</v>
      </c>
      <c r="E8">
        <v>20110122</v>
      </c>
      <c r="F8">
        <v>22</v>
      </c>
      <c r="G8" t="s">
        <v>40</v>
      </c>
      <c r="H8">
        <f>IF(G8="Dec",0,IF(G8="Jan",1,IF(G8="Feb",2,"")))</f>
        <v>0</v>
      </c>
      <c r="I8" s="36">
        <v>-6.6</v>
      </c>
      <c r="J8" t="s">
        <v>45</v>
      </c>
      <c r="K8">
        <f>IF(J8="Dec",0,IF(J8="Jan",1,IF(J8="Feb",2,"")))</f>
        <v>2</v>
      </c>
      <c r="L8" s="36">
        <v>-0.1</v>
      </c>
      <c r="M8" s="33">
        <v>-1.7</v>
      </c>
      <c r="O8" s="14" t="s">
        <v>32</v>
      </c>
      <c r="P8" s="17" t="str">
        <f>IFERROR(AVERAGEIFS($C$2:$C$30,$M$2:$M$30,"&gt;1.1",$M$2:$M$30,"&lt;1.6"),"no cases yet")</f>
        <v>no cases yet</v>
      </c>
      <c r="Q8" s="18" t="str">
        <f>IFERROR(AVERAGEIFS($D$2:$D$30,$M$2:$M$30,"&gt;1.1",$M$2:$M$30,"&lt;1.6"),"no cases yet")</f>
        <v>no cases yet</v>
      </c>
      <c r="R8" s="17" t="str">
        <f>IFERROR(AVERAGEIFS($F$2:$F$30,$M$2:$M$30,"&gt;1.1",$M$2:$M$30,"&lt;1.6"),"no cases yet")</f>
        <v>no cases yet</v>
      </c>
      <c r="S8" s="34">
        <f>COUNTIFS($M$2:$M$30,"&gt;1.0",$M$2:$M$30,"&lt;1.6")</f>
        <v>0</v>
      </c>
    </row>
    <row r="9" spans="1:19" x14ac:dyDescent="0.25">
      <c r="A9" t="s">
        <v>12</v>
      </c>
      <c r="B9">
        <v>20120103</v>
      </c>
      <c r="C9">
        <f>365+3</f>
        <v>368</v>
      </c>
      <c r="D9">
        <v>0</v>
      </c>
      <c r="E9">
        <v>20120120</v>
      </c>
      <c r="F9">
        <v>20</v>
      </c>
      <c r="G9" t="s">
        <v>45</v>
      </c>
      <c r="H9">
        <f>IF(G9="Dec",0,IF(G9="Jan",1,IF(G9="Feb",2,"")))</f>
        <v>2</v>
      </c>
      <c r="I9" s="36">
        <v>4.8</v>
      </c>
      <c r="J9" t="s">
        <v>40</v>
      </c>
      <c r="K9">
        <f>IF(J9="Dec",0,IF(J9="Jan",1,IF(J9="Feb",2,"")))</f>
        <v>0</v>
      </c>
      <c r="L9" s="36">
        <v>5.8</v>
      </c>
      <c r="M9" s="33">
        <v>-1.1000000000000001</v>
      </c>
      <c r="O9" s="14" t="s">
        <v>31</v>
      </c>
      <c r="P9" s="15">
        <f>IFERROR(AVERAGEIFS($C$2:$C$30,$M$2:$M$30,"&gt;0.5",$M$2:$M$30,"&lt;1.1"),"no cases yet")</f>
        <v>328.4</v>
      </c>
      <c r="Q9" s="16">
        <f>IFERROR(AVERAGEIFS($D$2:$D$30,$M$2:$M$30,"&gt;0.5",$M$2:$M$30,"&lt;1.1"),"no cases yet")</f>
        <v>-3.4</v>
      </c>
      <c r="R9" s="15">
        <f>IFERROR(AVERAGEIFS($F$2:$F$30,$M$2:$M$30,"&gt;0.5",$M$2:$M$30,"&lt;1.1"),"no cases yet")</f>
        <v>31.2</v>
      </c>
      <c r="S9" s="5">
        <f>COUNTIFS($M$2:$M$30,"&gt;0.5",$M$2:$M$30,"&lt;1.1")</f>
        <v>5</v>
      </c>
    </row>
    <row r="10" spans="1:19" x14ac:dyDescent="0.25">
      <c r="A10" t="s">
        <v>13</v>
      </c>
      <c r="B10">
        <v>20121221</v>
      </c>
      <c r="C10">
        <v>356</v>
      </c>
      <c r="D10">
        <v>1</v>
      </c>
      <c r="E10">
        <v>20130123</v>
      </c>
      <c r="F10">
        <v>23</v>
      </c>
      <c r="G10" t="s">
        <v>45</v>
      </c>
      <c r="H10">
        <f>IF(G10="Dec",0,IF(G10="Jan",1,IF(G10="Feb",2,"")))</f>
        <v>2</v>
      </c>
      <c r="I10" s="36">
        <v>-1.2</v>
      </c>
      <c r="J10" t="s">
        <v>40</v>
      </c>
      <c r="K10">
        <f>IF(J10="Dec",0,IF(J10="Jan",1,IF(J10="Feb",2,"")))</f>
        <v>0</v>
      </c>
      <c r="L10" s="36">
        <v>6.9</v>
      </c>
      <c r="M10" s="32">
        <v>-0.4</v>
      </c>
      <c r="O10" s="14" t="s">
        <v>30</v>
      </c>
      <c r="P10" s="17" t="str">
        <f>IFERROR(AVERAGEIFS($C$2:$C$30,$M$2:$M$30,"&gt;0",$M$2:$M$30,"&lt;0.6"),"no cases yet")</f>
        <v>no cases yet</v>
      </c>
      <c r="Q10" s="18" t="str">
        <f>IFERROR(AVERAGEIFS($D$2:$D$30,$M$2:$M$30,"&gt;0",$M$2:$M$30,"&lt;0.6"),"no cases yet")</f>
        <v>no cases yet</v>
      </c>
      <c r="R10" s="17" t="str">
        <f>IFERROR(AVERAGEIFS($F$2:$F$30,$M$2:$M$30,"&gt;0",$M$2:$M$30,"&lt;0.6"),"no cases yet")</f>
        <v>no cases yet</v>
      </c>
      <c r="S10" s="35">
        <f>COUNTIFS($M$2:$M$30,"&gt;0",$M$2:$M$30,"&lt;0.6")</f>
        <v>0</v>
      </c>
    </row>
    <row r="11" spans="1:19" ht="15.75" x14ac:dyDescent="0.25">
      <c r="A11" t="s">
        <v>14</v>
      </c>
      <c r="B11">
        <v>20131111</v>
      </c>
      <c r="C11">
        <v>315</v>
      </c>
      <c r="D11">
        <v>-11</v>
      </c>
      <c r="E11">
        <v>20140107</v>
      </c>
      <c r="F11">
        <v>7</v>
      </c>
      <c r="G11" t="s">
        <v>45</v>
      </c>
      <c r="H11">
        <f>IF(G11="Dec",0,IF(G11="Jan",1,IF(G11="Feb",2,"")))</f>
        <v>2</v>
      </c>
      <c r="I11" s="36">
        <v>-6.2</v>
      </c>
      <c r="J11" t="s">
        <v>40</v>
      </c>
      <c r="K11">
        <f>IF(J11="Dec",0,IF(J11="Jan",1,IF(J11="Feb",2,"")))</f>
        <v>0</v>
      </c>
      <c r="L11" s="36">
        <v>1.1000000000000001</v>
      </c>
      <c r="M11" s="32">
        <v>-0.4</v>
      </c>
      <c r="O11" s="13" t="s">
        <v>22</v>
      </c>
      <c r="P11" s="17" t="str">
        <f>IFERROR(AVERAGEIFS($C$2:$C$30,$M$2:$M$30,"&gt;-0.1",$M$2:$M$30,"&lt;0.1"),"no cases yet")</f>
        <v>no cases yet</v>
      </c>
      <c r="Q11" s="18" t="str">
        <f>IFERROR(AVERAGEIFS($D$2:$D$30,$M$2:$M$30,"&gt;-0.1",$M$2:$M$30,"&lt;0.1"),"no cases yet")</f>
        <v>no cases yet</v>
      </c>
      <c r="R11" s="17" t="str">
        <f>IFERROR(AVERAGEIFS($F$2:$F$30,$M$2:$M$30,"&gt;-0.1",$M$2:$M$30,"&lt;0.1"),"no cases yet")</f>
        <v>no cases yet</v>
      </c>
      <c r="S11" s="35">
        <f>COUNTIFS($M$2:$M$30,"=0")</f>
        <v>0</v>
      </c>
    </row>
    <row r="12" spans="1:19" x14ac:dyDescent="0.25">
      <c r="A12" t="s">
        <v>15</v>
      </c>
      <c r="B12">
        <v>20141117</v>
      </c>
      <c r="C12">
        <v>321</v>
      </c>
      <c r="D12">
        <v>-10</v>
      </c>
      <c r="E12">
        <v>20150220</v>
      </c>
      <c r="F12">
        <v>51</v>
      </c>
      <c r="G12" t="s">
        <v>45</v>
      </c>
      <c r="H12">
        <f>IF(G12="Dec",0,IF(G12="Jan",1,IF(G12="Feb",2,"")))</f>
        <v>2</v>
      </c>
      <c r="I12" s="36">
        <v>-13.2</v>
      </c>
      <c r="J12" t="s">
        <v>40</v>
      </c>
      <c r="K12">
        <f>IF(J12="Dec",0,IF(J12="Jan",1,IF(J12="Feb",2,"")))</f>
        <v>0</v>
      </c>
      <c r="L12" s="36">
        <v>4.5999999999999996</v>
      </c>
      <c r="M12" s="30">
        <v>0.7</v>
      </c>
      <c r="O12" s="19" t="s">
        <v>23</v>
      </c>
      <c r="P12" s="20">
        <f>IFERROR(AVERAGEIFS($C$2:$C$30,$M$2:$M$30,"&gt;-0.6",$M$2:$M$30,"&lt;0"),"no cases yet")</f>
        <v>335.5</v>
      </c>
      <c r="Q12" s="21">
        <f>IFERROR(AVERAGEIFS($D$2:$D$30,$M$2:$M$30,"&gt;-0.6",$M$2:$M$30,"&lt;0"),"no cases yet")</f>
        <v>-5</v>
      </c>
      <c r="R12" s="20">
        <f>IFERROR(AVERAGEIFS($F$2:$F$30,$M$2:$M$30,"&gt;-0.6",$M$2:$M$30,"&lt;0"),"no cases yet")</f>
        <v>15</v>
      </c>
      <c r="S12" s="6">
        <f>COUNTIFS($M$2:$M$30,"&gt;-0.6",$M$2:$M$30,"&lt;0")</f>
        <v>2</v>
      </c>
    </row>
    <row r="13" spans="1:19" x14ac:dyDescent="0.25">
      <c r="A13" t="s">
        <v>16</v>
      </c>
      <c r="B13">
        <v>20160112</v>
      </c>
      <c r="C13">
        <f>365+12</f>
        <v>377</v>
      </c>
      <c r="D13">
        <v>-3</v>
      </c>
      <c r="E13">
        <v>20160214</v>
      </c>
      <c r="F13">
        <v>45</v>
      </c>
      <c r="G13" t="s">
        <v>46</v>
      </c>
      <c r="H13">
        <f>IF(G13="Dec",0,IF(G13="Jan",1,IF(G13="Feb",2,"")))</f>
        <v>1</v>
      </c>
      <c r="I13" s="36">
        <v>1.1000000000000001</v>
      </c>
      <c r="J13" t="s">
        <v>40</v>
      </c>
      <c r="K13">
        <f>IF(J13="Dec",0,IF(J13="Jan",1,IF(J13="Feb",2,"")))</f>
        <v>0</v>
      </c>
      <c r="L13" s="36">
        <v>13.3</v>
      </c>
      <c r="M13" s="31">
        <v>2.6</v>
      </c>
      <c r="O13" s="19" t="s">
        <v>28</v>
      </c>
      <c r="P13" s="20">
        <f>IFERROR(AVERAGEIFS($C$2:$C$30,$M$2:$M$30,"&gt;-1.1",$M$2:$M$30,"&lt;-0.5"),"no cases yet")</f>
        <v>329.25</v>
      </c>
      <c r="Q13" s="21">
        <f>IFERROR(AVERAGEIFS($D$2:$D$30,$M$2:$M$30,"&gt;-1.1",$M$2:$M$30,"&lt;-0.5"),"no cases yet")</f>
        <v>-4.5714285714285712</v>
      </c>
      <c r="R13" s="20">
        <f>IFERROR(AVERAGEIFS($F$2:$F$30,$M$2:$M$30,"&gt;-1.1",$M$2:$M$30,"&lt;-0.5"),"no cases yet")</f>
        <v>18.25</v>
      </c>
      <c r="S13" s="6">
        <f>COUNTIFS($M$2:$M$30,"&gt;-1.1",$M$2:$M$30,"&lt;-0.5")</f>
        <v>7</v>
      </c>
    </row>
    <row r="14" spans="1:19" x14ac:dyDescent="0.25">
      <c r="A14" t="s">
        <v>17</v>
      </c>
      <c r="B14">
        <v>20161119</v>
      </c>
      <c r="C14">
        <v>324</v>
      </c>
      <c r="D14">
        <v>-1</v>
      </c>
      <c r="E14">
        <v>20170106</v>
      </c>
      <c r="F14">
        <v>6</v>
      </c>
      <c r="G14" t="s">
        <v>40</v>
      </c>
      <c r="H14">
        <f>IF(G14="Dec",0,IF(G14="Jan",1,IF(G14="Feb",2,"")))</f>
        <v>0</v>
      </c>
      <c r="I14" s="36">
        <v>0.1</v>
      </c>
      <c r="J14" t="s">
        <v>45</v>
      </c>
      <c r="K14">
        <f>IF(J14="Dec",0,IF(J14="Jan",1,IF(J14="Feb",2,"")))</f>
        <v>2</v>
      </c>
      <c r="L14" s="36">
        <v>11</v>
      </c>
      <c r="M14" s="33">
        <v>-0.7</v>
      </c>
      <c r="O14" s="19" t="s">
        <v>27</v>
      </c>
      <c r="P14" s="20">
        <f>IFERROR(AVERAGEIFS($C$2:$C$30,$M$2:$M$30,"&gt;-1.6",$M$2:$M$30,"&lt;-1.0"),"no cases yet")</f>
        <v>352.5</v>
      </c>
      <c r="Q14" s="21">
        <f>IFERROR(AVERAGEIFS($D$2:$D$30,$M$2:$M$30,"&gt;-1.6",$M$2:$M$30,"&lt;-1.0"),"no cases yet")</f>
        <v>1.5</v>
      </c>
      <c r="R14" s="20">
        <f>IFERROR(AVERAGEIFS($F$2:$F$30,$M$2:$M$30,"&gt;-1.6",$M$2:$M$30,"&lt;-1.0"),"no cases yet")</f>
        <v>34</v>
      </c>
      <c r="S14" s="6">
        <f>COUNTIFS($M$2:$M$30,"&gt;-1.6",$M$2:$M$30,"&lt;-1.0")</f>
        <v>2</v>
      </c>
    </row>
    <row r="15" spans="1:19" x14ac:dyDescent="0.25">
      <c r="A15" t="s">
        <v>18</v>
      </c>
      <c r="B15">
        <v>20171212</v>
      </c>
      <c r="C15">
        <v>346</v>
      </c>
      <c r="D15">
        <v>-4</v>
      </c>
      <c r="E15">
        <v>20180101</v>
      </c>
      <c r="F15">
        <v>1</v>
      </c>
      <c r="G15" t="s">
        <v>40</v>
      </c>
      <c r="H15">
        <f>IF(G15="Dec",0,IF(G15="Jan",1,IF(G15="Feb",2,"")))</f>
        <v>0</v>
      </c>
      <c r="I15" s="36">
        <v>-2</v>
      </c>
      <c r="J15" t="s">
        <v>45</v>
      </c>
      <c r="K15">
        <f>IF(J15="Dec",0,IF(J15="Jan",1,IF(J15="Feb",2,"")))</f>
        <v>2</v>
      </c>
      <c r="L15" s="36">
        <v>7.3</v>
      </c>
      <c r="M15" s="33">
        <v>-1</v>
      </c>
      <c r="O15" s="19" t="s">
        <v>26</v>
      </c>
      <c r="P15" s="20">
        <f>IFERROR(AVERAGEIFS($C$2:$C$30,$M$2:$M$30,"&lt;-1.5",$M$2:$M$30,"&lt;-1.5"),"no cases yet")</f>
        <v>337.5</v>
      </c>
      <c r="Q15" s="21">
        <f>IFERROR(AVERAGEIFS($D$2:$D$30,$M$2:$M$30,"&lt;-1.5",$M$2:$M$30,"&lt;-1.5"),"no cases yet")</f>
        <v>0</v>
      </c>
      <c r="R15" s="20">
        <f>IFERROR(AVERAGEIFS($F$2:$F$30,$M$2:$M$30,"&lt;-1.5",$M$2:$M$30,"&lt;-1.5"),"no cases yet")</f>
        <v>31.5</v>
      </c>
      <c r="S15" s="19">
        <f>COUNTIFS($M$2:$M$30,"&lt;-1.5")</f>
        <v>2</v>
      </c>
    </row>
    <row r="16" spans="1:19" ht="15.75" x14ac:dyDescent="0.25">
      <c r="A16" t="s">
        <v>20</v>
      </c>
      <c r="B16">
        <v>20181115</v>
      </c>
      <c r="C16">
        <v>319</v>
      </c>
      <c r="D16">
        <v>-5</v>
      </c>
      <c r="E16">
        <v>20190201</v>
      </c>
      <c r="F16">
        <v>32</v>
      </c>
      <c r="G16" t="s">
        <v>46</v>
      </c>
      <c r="H16">
        <f>IF(G16="Dec",0,IF(G16="Jan",1,IF(G16="Feb",2,"")))</f>
        <v>1</v>
      </c>
      <c r="I16" s="36">
        <v>0.7</v>
      </c>
      <c r="J16" t="s">
        <v>40</v>
      </c>
      <c r="K16">
        <f>IF(J16="Dec",0,IF(J16="Jan",1,IF(J16="Feb",2,"")))</f>
        <v>0</v>
      </c>
      <c r="L16" s="36">
        <v>5.6</v>
      </c>
      <c r="M16" s="30">
        <v>0.9</v>
      </c>
      <c r="O16" s="7" t="s">
        <v>24</v>
      </c>
      <c r="P16" s="8">
        <f>AVERAGEIF($M$2:$M$30,"&lt;0",$C$2:$C$30)</f>
        <v>336.8</v>
      </c>
      <c r="Q16" s="9">
        <f>AVERAGEIF($M$2:$M$30,"&lt;0",$D$2:$D$30)</f>
        <v>-3</v>
      </c>
      <c r="R16" s="8">
        <f>AVERAGEIF($M$2:$M$30,"&lt;0",$F$2:$F$30)</f>
        <v>23.4</v>
      </c>
      <c r="S16" s="7">
        <f>COUNTIFS($M$2:$M$30,"&lt;0")</f>
        <v>13</v>
      </c>
    </row>
    <row r="17" spans="1:20" x14ac:dyDescent="0.25">
      <c r="A17" t="s">
        <v>34</v>
      </c>
      <c r="B17">
        <v>20191112</v>
      </c>
      <c r="C17">
        <v>316</v>
      </c>
      <c r="D17">
        <v>8</v>
      </c>
      <c r="E17">
        <v>20200215</v>
      </c>
      <c r="F17">
        <f>15+31</f>
        <v>46</v>
      </c>
      <c r="G17" t="s">
        <v>45</v>
      </c>
      <c r="H17">
        <f>IF(G17="Dec",0,IF(G17="Jan",1,IF(G17="Feb",2,"")))</f>
        <v>2</v>
      </c>
      <c r="I17" s="36">
        <v>3.2</v>
      </c>
      <c r="J17" t="s">
        <v>46</v>
      </c>
      <c r="K17">
        <f>IF(J17="Dec",0,IF(J17="Jan",1,IF(J17="Feb",2,"")))</f>
        <v>1</v>
      </c>
      <c r="L17" s="36">
        <v>9.3000000000000007</v>
      </c>
      <c r="M17" s="30">
        <v>0.6</v>
      </c>
      <c r="P17" s="4"/>
      <c r="R17" s="4"/>
    </row>
    <row r="18" spans="1:20" x14ac:dyDescent="0.25">
      <c r="A18" t="s">
        <v>48</v>
      </c>
      <c r="B18">
        <v>20201202</v>
      </c>
      <c r="C18">
        <v>337</v>
      </c>
      <c r="D18">
        <v>3</v>
      </c>
      <c r="E18">
        <v>20210217</v>
      </c>
      <c r="F18">
        <v>48</v>
      </c>
      <c r="G18" t="s">
        <v>45</v>
      </c>
      <c r="H18">
        <f>IF(G18="Dec",0,IF(G18="Jan",1,IF(G18="Feb",2,"")))</f>
        <v>2</v>
      </c>
      <c r="I18" s="36">
        <v>-3</v>
      </c>
      <c r="J18" t="s">
        <v>46</v>
      </c>
      <c r="K18">
        <f>IF(J18="Dec",0,IF(J18="Jan",1,IF(J18="Feb",2,"")))</f>
        <v>1</v>
      </c>
      <c r="L18" s="36">
        <v>4.7</v>
      </c>
      <c r="M18" s="37">
        <v>-1.2</v>
      </c>
    </row>
    <row r="19" spans="1:20" x14ac:dyDescent="0.25">
      <c r="A19" t="s">
        <v>102</v>
      </c>
      <c r="B19">
        <v>20211114</v>
      </c>
      <c r="D19">
        <v>-1</v>
      </c>
      <c r="E19">
        <v>20220122</v>
      </c>
      <c r="G19" t="s">
        <v>46</v>
      </c>
      <c r="H19">
        <f>IF(G19="Dec",0,IF(G19="Jan",1,IF(G19="Feb",2,"")))</f>
        <v>1</v>
      </c>
      <c r="I19" s="36">
        <v>-4.3</v>
      </c>
      <c r="J19" t="s">
        <v>40</v>
      </c>
      <c r="K19">
        <f>IF(J19="Dec",0,IF(J19="Jan",1,IF(J19="Feb",2,"")))</f>
        <v>0</v>
      </c>
      <c r="L19" s="36">
        <v>7.4</v>
      </c>
      <c r="M19" s="32">
        <v>-1</v>
      </c>
      <c r="R19" s="1"/>
      <c r="S19" s="2"/>
      <c r="T19" s="1"/>
    </row>
    <row r="20" spans="1:20" x14ac:dyDescent="0.25">
      <c r="A20" t="s">
        <v>153</v>
      </c>
      <c r="B20">
        <v>20221216</v>
      </c>
      <c r="D20">
        <v>-5</v>
      </c>
      <c r="E20">
        <v>20221223</v>
      </c>
      <c r="G20" t="s">
        <v>40</v>
      </c>
      <c r="H20">
        <f>IF(G20="Dec",0,IF(G20="Jan",1,IF(G20="Feb",2,"")))</f>
        <v>0</v>
      </c>
      <c r="I20" s="36">
        <v>0.8</v>
      </c>
      <c r="J20" t="s">
        <v>45</v>
      </c>
      <c r="K20">
        <f>IF(J20="Dec",0,IF(J20="Jan",1,IF(J20="Feb",2,"")))</f>
        <v>2</v>
      </c>
      <c r="L20" s="36">
        <v>9.1</v>
      </c>
      <c r="M20" s="32">
        <v>-0.9</v>
      </c>
    </row>
    <row r="21" spans="1:20" x14ac:dyDescent="0.25">
      <c r="A21" t="s">
        <v>192</v>
      </c>
      <c r="B21">
        <v>20231218</v>
      </c>
      <c r="D21">
        <v>2</v>
      </c>
      <c r="E21">
        <v>20240115</v>
      </c>
      <c r="G21" t="s">
        <v>46</v>
      </c>
      <c r="H21">
        <f>IF(G21="Dec",0,IF(G21="Jan",1,IF(G21="Feb",2,"")))</f>
        <v>1</v>
      </c>
      <c r="I21">
        <v>1.2</v>
      </c>
      <c r="J21" t="s">
        <v>45</v>
      </c>
      <c r="K21">
        <f>IF(J21="Dec",0,IF(J21="Jan",1,IF(J21="Feb",2,"")))</f>
        <v>2</v>
      </c>
      <c r="L21" s="36">
        <v>6.5</v>
      </c>
      <c r="M21" s="31">
        <v>2</v>
      </c>
    </row>
    <row r="22" spans="1:20" x14ac:dyDescent="0.25">
      <c r="A22" t="s">
        <v>197</v>
      </c>
      <c r="B22">
        <v>20241121</v>
      </c>
      <c r="D22">
        <v>-10</v>
      </c>
      <c r="E22">
        <v>20250122</v>
      </c>
      <c r="G22" t="s">
        <v>46</v>
      </c>
      <c r="H22">
        <f>IF(G22="Dec",0,IF(G22="Jan",1,IF(G22="Feb",2,"")))</f>
        <v>1</v>
      </c>
      <c r="I22" s="36">
        <v>-7.3</v>
      </c>
      <c r="J22" t="s">
        <v>40</v>
      </c>
      <c r="K22">
        <f>IF(J22="Dec",0,IF(J22="Jan",1,IF(J22="Feb",2,"")))</f>
        <v>0</v>
      </c>
      <c r="L22" s="36">
        <v>0.8</v>
      </c>
      <c r="M22" s="32">
        <v>-0.6</v>
      </c>
    </row>
    <row r="23" spans="1:20" x14ac:dyDescent="0.25">
      <c r="A23" t="s">
        <v>202</v>
      </c>
      <c r="H23" t="str">
        <f>IF(G23="Dec",0,IF(G23="Jan",1,IF(G23="Feb",2,"")))</f>
        <v/>
      </c>
      <c r="K23" t="str">
        <f>IF(J23="Dec",0,IF(J23="Jan",1,IF(J23="Feb",2,"")))</f>
        <v/>
      </c>
    </row>
    <row r="24" spans="1:20" x14ac:dyDescent="0.25">
      <c r="H24" t="str">
        <f>IF(G24="Dec",0,IF(G24="Jan",1,IF(G24="Feb",2,"")))</f>
        <v/>
      </c>
      <c r="K24" t="str">
        <f>IF(J24="Dec",0,IF(J24="Jan",1,IF(J24="Feb",2,"")))</f>
        <v/>
      </c>
    </row>
    <row r="25" spans="1:20" x14ac:dyDescent="0.25">
      <c r="H25" t="str">
        <f>IF(G25="Dec",0,IF(G25="Jan",1,IF(G25="Feb",2,"")))</f>
        <v/>
      </c>
      <c r="K25" t="str">
        <f>IF(J25="Dec",0,IF(J25="Jan",1,IF(J25="Feb",2,"")))</f>
        <v/>
      </c>
    </row>
    <row r="26" spans="1:20" x14ac:dyDescent="0.25">
      <c r="H26" t="str">
        <f>IF(G26="Dec",0,IF(G26="Jan",1,IF(G26="Feb",2,"")))</f>
        <v/>
      </c>
      <c r="K26" t="str">
        <f>IF(J26="Dec",0,IF(J26="Jan",1,IF(J26="Feb",2,"")))</f>
        <v/>
      </c>
    </row>
    <row r="27" spans="1:20" x14ac:dyDescent="0.25">
      <c r="H27" t="str">
        <f>IF(G27="Dec",0,IF(G27="Jan",1,IF(G27="Feb",2,"")))</f>
        <v/>
      </c>
      <c r="K27" t="str">
        <f>IF(J27="Dec",0,IF(J27="Jan",1,IF(J27="Feb",2,"")))</f>
        <v/>
      </c>
    </row>
    <row r="28" spans="1:20" x14ac:dyDescent="0.25">
      <c r="H28" t="str">
        <f>IF(G28="Dec",0,IF(G28="Jan",1,IF(G28="Feb",2,"")))</f>
        <v/>
      </c>
      <c r="K28" t="str">
        <f>IF(J28="Dec",0,IF(J28="Jan",1,IF(J28="Feb",2,"")))</f>
        <v/>
      </c>
    </row>
    <row r="29" spans="1:20" x14ac:dyDescent="0.25">
      <c r="H29" t="str">
        <f>IF(G29="Dec",0,IF(G29="Jan",1,IF(G29="Feb",2,"")))</f>
        <v/>
      </c>
      <c r="K29" t="str">
        <f>IF(J29="Dec",0,IF(J29="Jan",1,IF(J29="Feb",2,"")))</f>
        <v/>
      </c>
    </row>
    <row r="30" spans="1:20" x14ac:dyDescent="0.25">
      <c r="H30" t="str">
        <f>IF(G30="Dec",0,IF(G30="Jan",1,IF(G30="Feb",2,"")))</f>
        <v/>
      </c>
      <c r="K30" t="str">
        <f>IF(J30="Dec",0,IF(J30="Jan",1,IF(J30="Feb",2,"")))</f>
        <v/>
      </c>
    </row>
    <row r="34" spans="17:20" x14ac:dyDescent="0.25">
      <c r="Q34" s="3"/>
      <c r="R34" s="4"/>
      <c r="S34" s="28"/>
      <c r="T34" s="4"/>
    </row>
  </sheetData>
  <autoFilter ref="A1:M30" xr:uid="{BD35D095-BB9A-40D3-AEA1-3396C8541757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D3E2-10CE-438C-85D5-5F7EAE0724E8}">
  <dimension ref="A1:N25"/>
  <sheetViews>
    <sheetView tabSelected="1" workbookViewId="0"/>
  </sheetViews>
  <sheetFormatPr defaultRowHeight="15" x14ac:dyDescent="0.25"/>
  <cols>
    <col min="1" max="1" width="17.85546875" bestFit="1" customWidth="1"/>
    <col min="2" max="2" width="11.7109375" bestFit="1" customWidth="1"/>
    <col min="3" max="3" width="14.28515625" bestFit="1" customWidth="1"/>
    <col min="4" max="4" width="11.7109375" bestFit="1" customWidth="1"/>
    <col min="5" max="5" width="22.28515625" bestFit="1" customWidth="1"/>
    <col min="6" max="6" width="11.7109375" bestFit="1" customWidth="1"/>
    <col min="7" max="7" width="19.28515625" bestFit="1" customWidth="1"/>
    <col min="8" max="8" width="11.7109375" bestFit="1" customWidth="1"/>
    <col min="9" max="9" width="21.5703125" bestFit="1" customWidth="1"/>
    <col min="10" max="10" width="11.7109375" bestFit="1" customWidth="1"/>
    <col min="11" max="11" width="21.140625" bestFit="1" customWidth="1"/>
    <col min="12" max="12" width="11.7109375" bestFit="1" customWidth="1"/>
    <col min="13" max="13" width="23.28515625" bestFit="1" customWidth="1"/>
    <col min="14" max="14" width="11.7109375" bestFit="1" customWidth="1"/>
  </cols>
  <sheetData>
    <row r="1" spans="1:14" ht="16.5" thickBot="1" x14ac:dyDescent="0.3">
      <c r="A1" s="47" t="s">
        <v>159</v>
      </c>
      <c r="B1" s="49" t="s">
        <v>154</v>
      </c>
      <c r="C1" s="48" t="s">
        <v>155</v>
      </c>
      <c r="D1" s="48" t="s">
        <v>154</v>
      </c>
      <c r="E1" s="47" t="s">
        <v>156</v>
      </c>
      <c r="F1" s="49" t="s">
        <v>154</v>
      </c>
      <c r="G1" s="48" t="s">
        <v>157</v>
      </c>
      <c r="H1" s="48" t="s">
        <v>154</v>
      </c>
      <c r="I1" s="47" t="s">
        <v>164</v>
      </c>
      <c r="J1" s="49" t="s">
        <v>154</v>
      </c>
      <c r="K1" s="48" t="s">
        <v>158</v>
      </c>
      <c r="L1" s="48" t="s">
        <v>154</v>
      </c>
      <c r="M1" s="47" t="s">
        <v>165</v>
      </c>
      <c r="N1" s="49" t="s">
        <v>154</v>
      </c>
    </row>
    <row r="2" spans="1:14" x14ac:dyDescent="0.25">
      <c r="A2" s="99">
        <v>20251110</v>
      </c>
      <c r="B2" s="100" t="s">
        <v>199</v>
      </c>
      <c r="C2" s="101">
        <v>-10</v>
      </c>
      <c r="D2" s="120" t="s">
        <v>201</v>
      </c>
      <c r="E2" s="99">
        <v>20260110</v>
      </c>
      <c r="F2" s="100" t="s">
        <v>180</v>
      </c>
      <c r="G2" s="121">
        <v>12</v>
      </c>
      <c r="H2" s="120" t="s">
        <v>181</v>
      </c>
      <c r="I2" s="103">
        <v>-5</v>
      </c>
      <c r="J2" s="100" t="s">
        <v>179</v>
      </c>
      <c r="K2" s="102">
        <v>12</v>
      </c>
      <c r="L2" s="120" t="s">
        <v>177</v>
      </c>
      <c r="M2" s="103">
        <v>1</v>
      </c>
      <c r="N2" s="100" t="s">
        <v>180</v>
      </c>
    </row>
    <row r="3" spans="1:14" x14ac:dyDescent="0.25">
      <c r="A3" s="104">
        <v>20251110</v>
      </c>
      <c r="B3" s="105" t="s">
        <v>173</v>
      </c>
      <c r="C3" s="101">
        <v>-8</v>
      </c>
      <c r="D3" s="120" t="s">
        <v>200</v>
      </c>
      <c r="E3" s="104">
        <v>20260112</v>
      </c>
      <c r="F3" s="105" t="s">
        <v>181</v>
      </c>
      <c r="G3" s="102">
        <v>1</v>
      </c>
      <c r="H3" s="105" t="s">
        <v>179</v>
      </c>
      <c r="I3" s="106">
        <v>-4</v>
      </c>
      <c r="J3" s="105" t="s">
        <v>200</v>
      </c>
      <c r="K3" s="102">
        <v>12</v>
      </c>
      <c r="L3" s="105" t="s">
        <v>199</v>
      </c>
      <c r="M3" s="106">
        <v>1.6</v>
      </c>
      <c r="N3" s="105" t="s">
        <v>170</v>
      </c>
    </row>
    <row r="4" spans="1:14" x14ac:dyDescent="0.25">
      <c r="A4" s="104">
        <v>20251111</v>
      </c>
      <c r="B4" s="105" t="s">
        <v>200</v>
      </c>
      <c r="C4" s="101">
        <v>-5</v>
      </c>
      <c r="D4" s="105" t="s">
        <v>179</v>
      </c>
      <c r="E4" s="104">
        <v>20260115</v>
      </c>
      <c r="F4" s="105" t="s">
        <v>179</v>
      </c>
      <c r="G4" s="102">
        <v>1</v>
      </c>
      <c r="H4" s="105" t="s">
        <v>177</v>
      </c>
      <c r="I4" s="106">
        <v>-3.7</v>
      </c>
      <c r="J4" s="105" t="s">
        <v>186</v>
      </c>
      <c r="K4" s="102">
        <v>1</v>
      </c>
      <c r="L4" s="105" t="s">
        <v>170</v>
      </c>
      <c r="M4" s="106">
        <v>2</v>
      </c>
      <c r="N4" s="105" t="s">
        <v>181</v>
      </c>
    </row>
    <row r="5" spans="1:14" x14ac:dyDescent="0.25">
      <c r="A5" s="104">
        <v>20251111</v>
      </c>
      <c r="B5" s="105" t="s">
        <v>201</v>
      </c>
      <c r="C5" s="119">
        <v>-4.5999999999999996</v>
      </c>
      <c r="D5" s="105" t="s">
        <v>186</v>
      </c>
      <c r="E5" s="104">
        <v>20260115</v>
      </c>
      <c r="F5" s="105" t="s">
        <v>199</v>
      </c>
      <c r="G5" s="107">
        <v>1</v>
      </c>
      <c r="H5" s="105" t="s">
        <v>199</v>
      </c>
      <c r="I5" s="106">
        <v>-3</v>
      </c>
      <c r="J5" s="105" t="s">
        <v>181</v>
      </c>
      <c r="K5" s="102">
        <v>1</v>
      </c>
      <c r="L5" s="105" t="s">
        <v>173</v>
      </c>
      <c r="M5" s="106">
        <v>2.5</v>
      </c>
      <c r="N5" s="105" t="s">
        <v>179</v>
      </c>
    </row>
    <row r="6" spans="1:14" x14ac:dyDescent="0.25">
      <c r="A6" s="104">
        <v>20251124</v>
      </c>
      <c r="B6" s="105" t="s">
        <v>177</v>
      </c>
      <c r="C6" s="101">
        <v>-4</v>
      </c>
      <c r="D6" s="105" t="s">
        <v>199</v>
      </c>
      <c r="E6" s="104">
        <v>20260118</v>
      </c>
      <c r="F6" s="105" t="s">
        <v>200</v>
      </c>
      <c r="G6" s="102">
        <v>1</v>
      </c>
      <c r="H6" s="105" t="s">
        <v>200</v>
      </c>
      <c r="I6" s="106">
        <v>-2.4</v>
      </c>
      <c r="J6" s="105" t="s">
        <v>170</v>
      </c>
      <c r="K6" s="121">
        <v>1</v>
      </c>
      <c r="L6" s="105" t="s">
        <v>186</v>
      </c>
      <c r="M6" s="106">
        <v>2.5</v>
      </c>
      <c r="N6" s="105" t="s">
        <v>200</v>
      </c>
    </row>
    <row r="7" spans="1:14" x14ac:dyDescent="0.25">
      <c r="A7" s="104">
        <v>20251124</v>
      </c>
      <c r="B7" s="105" t="s">
        <v>186</v>
      </c>
      <c r="C7" s="101">
        <v>-2.6</v>
      </c>
      <c r="D7" s="105" t="s">
        <v>173</v>
      </c>
      <c r="E7" s="104">
        <v>20260118</v>
      </c>
      <c r="F7" s="105" t="s">
        <v>186</v>
      </c>
      <c r="G7" s="102">
        <v>1</v>
      </c>
      <c r="H7" s="105" t="s">
        <v>180</v>
      </c>
      <c r="I7" s="106">
        <v>-2</v>
      </c>
      <c r="J7" s="105" t="s">
        <v>180</v>
      </c>
      <c r="K7" s="102">
        <v>2</v>
      </c>
      <c r="L7" s="105" t="s">
        <v>179</v>
      </c>
      <c r="M7" s="106">
        <v>5</v>
      </c>
      <c r="N7" s="105" t="s">
        <v>186</v>
      </c>
    </row>
    <row r="8" spans="1:14" x14ac:dyDescent="0.25">
      <c r="A8" s="104">
        <v>20251127</v>
      </c>
      <c r="B8" s="105" t="s">
        <v>179</v>
      </c>
      <c r="C8" s="101">
        <v>-2</v>
      </c>
      <c r="D8" s="105" t="s">
        <v>170</v>
      </c>
      <c r="E8" s="104">
        <v>20260121</v>
      </c>
      <c r="F8" s="105" t="s">
        <v>177</v>
      </c>
      <c r="G8" s="121">
        <v>1</v>
      </c>
      <c r="H8" s="105" t="s">
        <v>201</v>
      </c>
      <c r="I8" s="106">
        <v>-1.7</v>
      </c>
      <c r="J8" s="105" t="s">
        <v>199</v>
      </c>
      <c r="K8" s="102">
        <v>2</v>
      </c>
      <c r="L8" s="105" t="s">
        <v>200</v>
      </c>
      <c r="M8" s="106">
        <v>5.3</v>
      </c>
      <c r="N8" s="105" t="s">
        <v>199</v>
      </c>
    </row>
    <row r="9" spans="1:14" x14ac:dyDescent="0.25">
      <c r="A9" s="104">
        <v>20251203</v>
      </c>
      <c r="B9" s="105" t="s">
        <v>181</v>
      </c>
      <c r="C9" s="101">
        <v>-2</v>
      </c>
      <c r="D9" s="105" t="s">
        <v>180</v>
      </c>
      <c r="E9" s="104">
        <v>20260122</v>
      </c>
      <c r="F9" s="105" t="s">
        <v>201</v>
      </c>
      <c r="G9" s="102">
        <v>2</v>
      </c>
      <c r="H9" s="105" t="s">
        <v>170</v>
      </c>
      <c r="I9" s="106" t="s">
        <v>172</v>
      </c>
      <c r="J9" s="105" t="s">
        <v>177</v>
      </c>
      <c r="K9" s="102">
        <v>2</v>
      </c>
      <c r="L9" s="105" t="s">
        <v>180</v>
      </c>
      <c r="M9" s="106" t="s">
        <v>172</v>
      </c>
      <c r="N9" s="105" t="s">
        <v>177</v>
      </c>
    </row>
    <row r="10" spans="1:14" x14ac:dyDescent="0.25">
      <c r="A10" s="104">
        <v>20251208</v>
      </c>
      <c r="B10" s="105" t="s">
        <v>180</v>
      </c>
      <c r="C10" s="101">
        <v>4</v>
      </c>
      <c r="D10" s="105" t="s">
        <v>181</v>
      </c>
      <c r="E10" s="104">
        <v>20260203</v>
      </c>
      <c r="F10" s="105" t="s">
        <v>170</v>
      </c>
      <c r="G10" s="102">
        <v>2</v>
      </c>
      <c r="H10" s="105" t="s">
        <v>173</v>
      </c>
      <c r="I10" s="106" t="s">
        <v>172</v>
      </c>
      <c r="J10" s="105" t="s">
        <v>201</v>
      </c>
      <c r="K10" s="102">
        <v>2</v>
      </c>
      <c r="L10" s="105" t="s">
        <v>181</v>
      </c>
      <c r="M10" s="106" t="s">
        <v>172</v>
      </c>
      <c r="N10" s="105" t="s">
        <v>201</v>
      </c>
    </row>
    <row r="11" spans="1:14" ht="15.75" thickBot="1" x14ac:dyDescent="0.3">
      <c r="A11" s="108">
        <v>20251212</v>
      </c>
      <c r="B11" s="109" t="s">
        <v>170</v>
      </c>
      <c r="C11" s="110">
        <v>7</v>
      </c>
      <c r="D11" s="109" t="s">
        <v>177</v>
      </c>
      <c r="E11" s="108">
        <v>20260212</v>
      </c>
      <c r="F11" s="109" t="s">
        <v>173</v>
      </c>
      <c r="G11" s="111">
        <v>2</v>
      </c>
      <c r="H11" s="109" t="s">
        <v>186</v>
      </c>
      <c r="I11" s="112" t="s">
        <v>172</v>
      </c>
      <c r="J11" s="109" t="s">
        <v>173</v>
      </c>
      <c r="K11" s="111" t="s">
        <v>172</v>
      </c>
      <c r="L11" s="109" t="s">
        <v>201</v>
      </c>
      <c r="M11" s="112" t="s">
        <v>172</v>
      </c>
      <c r="N11" s="109" t="s">
        <v>173</v>
      </c>
    </row>
    <row r="12" spans="1:14" ht="15.75" thickBot="1" x14ac:dyDescent="0.3">
      <c r="A12" s="113" t="s">
        <v>194</v>
      </c>
      <c r="B12" s="114" t="s">
        <v>188</v>
      </c>
      <c r="C12" s="115">
        <f>AVERAGE(C2:C11)</f>
        <v>-2.72</v>
      </c>
      <c r="D12" s="116" t="s">
        <v>188</v>
      </c>
      <c r="E12" s="117">
        <v>20250126</v>
      </c>
      <c r="F12" s="114" t="s">
        <v>188</v>
      </c>
      <c r="G12" s="118">
        <f>MODE(G2:G11)</f>
        <v>1</v>
      </c>
      <c r="H12" s="116" t="s">
        <v>189</v>
      </c>
      <c r="I12" s="115">
        <f>AVERAGE(I2:I11)</f>
        <v>-3.1142857142857139</v>
      </c>
      <c r="J12" s="114" t="s">
        <v>188</v>
      </c>
      <c r="K12" s="118">
        <f>MODE(K2:K11)</f>
        <v>2</v>
      </c>
      <c r="L12" s="116" t="s">
        <v>189</v>
      </c>
      <c r="M12" s="115">
        <f>AVERAGE(M2:M11)</f>
        <v>2.8428571428571425</v>
      </c>
      <c r="N12" s="114" t="s">
        <v>188</v>
      </c>
    </row>
    <row r="13" spans="1:14" ht="15.75" thickBot="1" x14ac:dyDescent="0.3">
      <c r="A13" s="94"/>
      <c r="B13" s="95" t="s">
        <v>187</v>
      </c>
      <c r="C13" s="96"/>
      <c r="D13" s="96" t="s">
        <v>187</v>
      </c>
      <c r="E13" s="94"/>
      <c r="F13" s="95" t="s">
        <v>187</v>
      </c>
      <c r="G13" s="97"/>
      <c r="H13" s="96" t="s">
        <v>187</v>
      </c>
      <c r="I13" s="98"/>
      <c r="J13" s="95" t="s">
        <v>187</v>
      </c>
      <c r="K13" s="97"/>
      <c r="L13" s="96" t="s">
        <v>187</v>
      </c>
      <c r="M13" s="98"/>
      <c r="N13" s="95" t="s">
        <v>187</v>
      </c>
    </row>
    <row r="14" spans="1:14" x14ac:dyDescent="0.25">
      <c r="A14" s="46"/>
      <c r="B14" s="46"/>
      <c r="C14" s="46"/>
      <c r="D14" s="46"/>
      <c r="E14" s="42"/>
      <c r="F14" s="46"/>
      <c r="G14" s="46"/>
      <c r="H14" s="46"/>
      <c r="I14" s="46"/>
      <c r="J14" s="46"/>
      <c r="K14" s="46"/>
      <c r="L14" s="46"/>
      <c r="M14" s="46"/>
      <c r="N14" s="46"/>
    </row>
    <row r="15" spans="1:14" x14ac:dyDescent="0.25">
      <c r="A15" s="46"/>
      <c r="B15" s="7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</sheetData>
  <sortState xmlns:xlrd2="http://schemas.microsoft.com/office/spreadsheetml/2017/richdata2" ref="M2:N11">
    <sortCondition ref="M2:M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93B8-DA57-48C2-A614-EA7DF022F203}">
  <dimension ref="A1:N24"/>
  <sheetViews>
    <sheetView workbookViewId="0">
      <selection activeCell="D15" sqref="D15"/>
    </sheetView>
  </sheetViews>
  <sheetFormatPr defaultRowHeight="15" x14ac:dyDescent="0.25"/>
  <cols>
    <col min="1" max="1" width="17.28515625" bestFit="1" customWidth="1"/>
    <col min="2" max="2" width="11.28515625" bestFit="1" customWidth="1"/>
    <col min="3" max="3" width="13.85546875" bestFit="1" customWidth="1"/>
    <col min="4" max="4" width="11.28515625" bestFit="1" customWidth="1"/>
    <col min="5" max="5" width="21.7109375" bestFit="1" customWidth="1"/>
    <col min="6" max="6" width="11.28515625" bestFit="1" customWidth="1"/>
    <col min="7" max="7" width="18.7109375" bestFit="1" customWidth="1"/>
    <col min="8" max="8" width="11.28515625" bestFit="1" customWidth="1"/>
    <col min="9" max="9" width="21" bestFit="1" customWidth="1"/>
    <col min="10" max="10" width="11.28515625" bestFit="1" customWidth="1"/>
    <col min="11" max="11" width="20.5703125" bestFit="1" customWidth="1"/>
    <col min="12" max="12" width="11.28515625" bestFit="1" customWidth="1"/>
    <col min="13" max="13" width="22.7109375" bestFit="1" customWidth="1"/>
    <col min="14" max="14" width="11.28515625" bestFit="1" customWidth="1"/>
  </cols>
  <sheetData>
    <row r="1" spans="1:14" ht="16.5" thickBot="1" x14ac:dyDescent="0.3">
      <c r="A1" s="47" t="s">
        <v>159</v>
      </c>
      <c r="B1" s="49" t="s">
        <v>154</v>
      </c>
      <c r="C1" s="48" t="s">
        <v>155</v>
      </c>
      <c r="D1" s="48" t="s">
        <v>154</v>
      </c>
      <c r="E1" s="47" t="s">
        <v>156</v>
      </c>
      <c r="F1" s="49" t="s">
        <v>154</v>
      </c>
      <c r="G1" s="48" t="s">
        <v>157</v>
      </c>
      <c r="H1" s="48" t="s">
        <v>154</v>
      </c>
      <c r="I1" s="47" t="s">
        <v>164</v>
      </c>
      <c r="J1" s="49" t="s">
        <v>154</v>
      </c>
      <c r="K1" s="48" t="s">
        <v>158</v>
      </c>
      <c r="L1" s="48" t="s">
        <v>154</v>
      </c>
      <c r="M1" s="47" t="s">
        <v>165</v>
      </c>
      <c r="N1" s="49" t="s">
        <v>154</v>
      </c>
    </row>
    <row r="2" spans="1:14" x14ac:dyDescent="0.25">
      <c r="A2" s="83">
        <v>20241121</v>
      </c>
      <c r="B2" s="78" t="s">
        <v>162</v>
      </c>
      <c r="C2" s="84">
        <v>-4</v>
      </c>
      <c r="D2" s="79" t="s">
        <v>180</v>
      </c>
      <c r="E2" s="65">
        <v>20250105</v>
      </c>
      <c r="F2" s="66" t="s">
        <v>179</v>
      </c>
      <c r="G2" s="86">
        <v>1</v>
      </c>
      <c r="H2" s="79" t="s">
        <v>180</v>
      </c>
      <c r="I2" s="88">
        <v>-2.6</v>
      </c>
      <c r="J2" s="78" t="s">
        <v>186</v>
      </c>
      <c r="K2" s="64">
        <v>1</v>
      </c>
      <c r="L2" s="52" t="s">
        <v>167</v>
      </c>
      <c r="M2" s="90">
        <v>2</v>
      </c>
      <c r="N2" s="78" t="s">
        <v>180</v>
      </c>
    </row>
    <row r="3" spans="1:14" x14ac:dyDescent="0.25">
      <c r="A3" s="62">
        <v>20241125</v>
      </c>
      <c r="B3" s="50" t="s">
        <v>179</v>
      </c>
      <c r="C3" s="51">
        <v>-3.14</v>
      </c>
      <c r="D3" s="52" t="s">
        <v>173</v>
      </c>
      <c r="E3" s="62">
        <v>20250113</v>
      </c>
      <c r="F3" s="50" t="s">
        <v>180</v>
      </c>
      <c r="G3" s="86">
        <v>1</v>
      </c>
      <c r="H3" s="80" t="s">
        <v>162</v>
      </c>
      <c r="I3" s="89">
        <v>-2</v>
      </c>
      <c r="J3" s="80" t="s">
        <v>181</v>
      </c>
      <c r="K3" s="64">
        <v>1</v>
      </c>
      <c r="L3" s="50" t="s">
        <v>186</v>
      </c>
      <c r="M3" s="56">
        <v>2.1</v>
      </c>
      <c r="N3" s="50" t="s">
        <v>173</v>
      </c>
    </row>
    <row r="4" spans="1:14" x14ac:dyDescent="0.25">
      <c r="A4" s="62">
        <v>20241127</v>
      </c>
      <c r="B4" s="50" t="s">
        <v>167</v>
      </c>
      <c r="C4" s="51">
        <v>-2.2999999999999998</v>
      </c>
      <c r="D4" s="50" t="s">
        <v>186</v>
      </c>
      <c r="E4" s="62">
        <v>20250118</v>
      </c>
      <c r="F4" s="50" t="s">
        <v>177</v>
      </c>
      <c r="G4" s="86">
        <v>1</v>
      </c>
      <c r="H4" s="80" t="s">
        <v>177</v>
      </c>
      <c r="I4" s="53">
        <v>-1</v>
      </c>
      <c r="J4" s="50" t="s">
        <v>180</v>
      </c>
      <c r="K4" s="64">
        <v>2</v>
      </c>
      <c r="L4" s="50" t="s">
        <v>173</v>
      </c>
      <c r="M4" s="53">
        <v>3</v>
      </c>
      <c r="N4" s="50" t="s">
        <v>181</v>
      </c>
    </row>
    <row r="5" spans="1:14" x14ac:dyDescent="0.25">
      <c r="A5" s="62">
        <v>20241129</v>
      </c>
      <c r="B5" s="50" t="s">
        <v>177</v>
      </c>
      <c r="C5" s="51">
        <v>-2</v>
      </c>
      <c r="D5" s="50" t="s">
        <v>170</v>
      </c>
      <c r="E5" s="85">
        <v>20250120</v>
      </c>
      <c r="F5" s="80" t="s">
        <v>162</v>
      </c>
      <c r="G5" s="87">
        <v>1</v>
      </c>
      <c r="H5" s="80" t="s">
        <v>186</v>
      </c>
      <c r="I5" s="53">
        <v>1</v>
      </c>
      <c r="J5" s="50" t="s">
        <v>170</v>
      </c>
      <c r="K5" s="64">
        <v>2</v>
      </c>
      <c r="L5" s="50" t="s">
        <v>179</v>
      </c>
      <c r="M5" s="53">
        <v>3</v>
      </c>
      <c r="N5" s="50" t="s">
        <v>162</v>
      </c>
    </row>
    <row r="6" spans="1:14" x14ac:dyDescent="0.25">
      <c r="A6" s="62">
        <v>20241202</v>
      </c>
      <c r="B6" s="50" t="s">
        <v>186</v>
      </c>
      <c r="C6" s="51">
        <v>-2</v>
      </c>
      <c r="D6" s="50" t="s">
        <v>162</v>
      </c>
      <c r="E6" s="85">
        <v>20250124</v>
      </c>
      <c r="F6" s="80" t="s">
        <v>170</v>
      </c>
      <c r="G6" s="86">
        <v>1.4</v>
      </c>
      <c r="H6" s="80" t="s">
        <v>173</v>
      </c>
      <c r="I6" s="53">
        <v>1</v>
      </c>
      <c r="J6" s="50" t="s">
        <v>162</v>
      </c>
      <c r="K6" s="86">
        <v>12</v>
      </c>
      <c r="L6" s="81" t="s">
        <v>181</v>
      </c>
      <c r="M6" s="53">
        <v>3.5</v>
      </c>
      <c r="N6" s="50" t="s">
        <v>170</v>
      </c>
    </row>
    <row r="7" spans="1:14" x14ac:dyDescent="0.25">
      <c r="A7" s="62">
        <v>20241208</v>
      </c>
      <c r="B7" s="50" t="s">
        <v>180</v>
      </c>
      <c r="C7" s="51">
        <v>-2</v>
      </c>
      <c r="D7" s="50" t="s">
        <v>179</v>
      </c>
      <c r="E7" s="85">
        <v>20250124</v>
      </c>
      <c r="F7" s="80" t="s">
        <v>173</v>
      </c>
      <c r="G7" s="64">
        <v>2</v>
      </c>
      <c r="H7" s="50" t="s">
        <v>181</v>
      </c>
      <c r="I7" s="53">
        <v>1</v>
      </c>
      <c r="J7" s="50" t="s">
        <v>179</v>
      </c>
      <c r="K7" s="86">
        <v>12</v>
      </c>
      <c r="L7" s="80" t="s">
        <v>180</v>
      </c>
      <c r="M7" s="56">
        <v>3.5</v>
      </c>
      <c r="N7" s="50" t="s">
        <v>179</v>
      </c>
    </row>
    <row r="8" spans="1:14" x14ac:dyDescent="0.25">
      <c r="A8" s="62">
        <v>20241211</v>
      </c>
      <c r="B8" s="50" t="s">
        <v>181</v>
      </c>
      <c r="C8" s="51">
        <v>1</v>
      </c>
      <c r="D8" s="50" t="s">
        <v>167</v>
      </c>
      <c r="E8" s="62">
        <v>20250126</v>
      </c>
      <c r="F8" s="50" t="s">
        <v>167</v>
      </c>
      <c r="G8" s="64">
        <v>2</v>
      </c>
      <c r="H8" s="50" t="s">
        <v>167</v>
      </c>
      <c r="I8" s="53">
        <v>1.4</v>
      </c>
      <c r="J8" s="50" t="s">
        <v>173</v>
      </c>
      <c r="K8" s="86">
        <v>12</v>
      </c>
      <c r="L8" s="80" t="s">
        <v>170</v>
      </c>
      <c r="M8" s="56">
        <v>5.9</v>
      </c>
      <c r="N8" s="50" t="s">
        <v>186</v>
      </c>
    </row>
    <row r="9" spans="1:14" x14ac:dyDescent="0.25">
      <c r="A9" s="62">
        <v>20241214</v>
      </c>
      <c r="B9" s="50" t="s">
        <v>173</v>
      </c>
      <c r="C9" s="51">
        <v>2</v>
      </c>
      <c r="D9" s="50" t="s">
        <v>177</v>
      </c>
      <c r="E9" s="62">
        <v>20250127</v>
      </c>
      <c r="F9" s="50" t="s">
        <v>186</v>
      </c>
      <c r="G9" s="64">
        <v>2</v>
      </c>
      <c r="H9" s="50" t="s">
        <v>170</v>
      </c>
      <c r="I9" s="53" t="s">
        <v>172</v>
      </c>
      <c r="J9" s="50" t="s">
        <v>167</v>
      </c>
      <c r="K9" s="86">
        <v>12</v>
      </c>
      <c r="L9" s="80" t="s">
        <v>162</v>
      </c>
      <c r="M9" s="53" t="s">
        <v>172</v>
      </c>
      <c r="N9" s="50" t="s">
        <v>167</v>
      </c>
    </row>
    <row r="10" spans="1:14" ht="15.75" thickBot="1" x14ac:dyDescent="0.3">
      <c r="A10" s="63">
        <v>20241216</v>
      </c>
      <c r="B10" s="57" t="s">
        <v>170</v>
      </c>
      <c r="C10" s="58">
        <v>3</v>
      </c>
      <c r="D10" s="57" t="s">
        <v>181</v>
      </c>
      <c r="E10" s="63">
        <v>20250206</v>
      </c>
      <c r="F10" s="57" t="s">
        <v>181</v>
      </c>
      <c r="G10" s="76">
        <v>12</v>
      </c>
      <c r="H10" s="57" t="s">
        <v>179</v>
      </c>
      <c r="I10" s="77" t="s">
        <v>172</v>
      </c>
      <c r="J10" s="57" t="s">
        <v>177</v>
      </c>
      <c r="K10" s="91">
        <v>12</v>
      </c>
      <c r="L10" s="82" t="s">
        <v>177</v>
      </c>
      <c r="M10" s="77" t="s">
        <v>172</v>
      </c>
      <c r="N10" s="57" t="s">
        <v>177</v>
      </c>
    </row>
    <row r="11" spans="1:14" ht="15.75" thickBot="1" x14ac:dyDescent="0.3">
      <c r="A11" s="69" t="s">
        <v>194</v>
      </c>
      <c r="B11" s="70" t="s">
        <v>188</v>
      </c>
      <c r="C11" s="71">
        <f>AVERAGE(C2:C10)</f>
        <v>-1.048888888888889</v>
      </c>
      <c r="D11" s="72" t="s">
        <v>188</v>
      </c>
      <c r="E11" s="73">
        <v>20250126</v>
      </c>
      <c r="F11" s="70" t="s">
        <v>188</v>
      </c>
      <c r="G11" s="92">
        <f>MODE(G2:G10)</f>
        <v>1</v>
      </c>
      <c r="H11" s="93" t="s">
        <v>189</v>
      </c>
      <c r="I11" s="71">
        <f>AVERAGE(I2:I10)</f>
        <v>-0.1714285714285714</v>
      </c>
      <c r="J11" s="70" t="s">
        <v>188</v>
      </c>
      <c r="K11" s="92">
        <f>MODE(K2:K10)</f>
        <v>12</v>
      </c>
      <c r="L11" s="93" t="s">
        <v>189</v>
      </c>
      <c r="M11" s="71">
        <f>AVERAGE(M2:M10)</f>
        <v>3.2857142857142856</v>
      </c>
      <c r="N11" s="70" t="s">
        <v>188</v>
      </c>
    </row>
    <row r="12" spans="1:14" ht="15.75" thickBot="1" x14ac:dyDescent="0.3">
      <c r="A12" s="94" t="s">
        <v>195</v>
      </c>
      <c r="B12" s="95" t="s">
        <v>187</v>
      </c>
      <c r="C12" s="96" t="s">
        <v>196</v>
      </c>
      <c r="D12" s="96" t="s">
        <v>187</v>
      </c>
      <c r="E12" s="94" t="s">
        <v>198</v>
      </c>
      <c r="F12" s="95" t="s">
        <v>187</v>
      </c>
      <c r="G12" s="97">
        <v>1</v>
      </c>
      <c r="H12" s="96" t="s">
        <v>187</v>
      </c>
      <c r="I12" s="98">
        <v>-7.3</v>
      </c>
      <c r="J12" s="95" t="s">
        <v>187</v>
      </c>
      <c r="K12" s="97">
        <v>12</v>
      </c>
      <c r="L12" s="96" t="s">
        <v>187</v>
      </c>
      <c r="M12" s="98">
        <v>0.8</v>
      </c>
      <c r="N12" s="95" t="s">
        <v>187</v>
      </c>
    </row>
    <row r="13" spans="1:14" x14ac:dyDescent="0.25">
      <c r="A13" s="46"/>
      <c r="B13" s="46"/>
      <c r="C13" s="46"/>
      <c r="D13" s="46"/>
      <c r="E13" s="42"/>
      <c r="F13" s="46"/>
      <c r="G13" s="46"/>
      <c r="H13" s="46"/>
      <c r="I13" s="46"/>
      <c r="J13" s="46"/>
      <c r="K13" s="46"/>
      <c r="L13" s="46"/>
      <c r="M13" s="46"/>
      <c r="N13" s="46"/>
    </row>
    <row r="14" spans="1:14" x14ac:dyDescent="0.25">
      <c r="A14" s="46"/>
      <c r="B14" s="7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</sheetData>
  <sortState xmlns:xlrd2="http://schemas.microsoft.com/office/spreadsheetml/2017/richdata2" ref="E2:F10">
    <sortCondition ref="E2:E1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81FF-DEC1-4462-8B9D-72F74BE0CBED}">
  <dimension ref="A1:N24"/>
  <sheetViews>
    <sheetView workbookViewId="0">
      <selection activeCell="A10" sqref="A10"/>
    </sheetView>
  </sheetViews>
  <sheetFormatPr defaultRowHeight="15" x14ac:dyDescent="0.25"/>
  <cols>
    <col min="1" max="1" width="17.28515625" bestFit="1" customWidth="1"/>
    <col min="2" max="2" width="11.28515625" bestFit="1" customWidth="1"/>
    <col min="3" max="3" width="13.85546875" bestFit="1" customWidth="1"/>
    <col min="4" max="4" width="11.28515625" bestFit="1" customWidth="1"/>
    <col min="5" max="5" width="21.7109375" bestFit="1" customWidth="1"/>
    <col min="6" max="6" width="11.28515625" bestFit="1" customWidth="1"/>
    <col min="7" max="7" width="18.7109375" bestFit="1" customWidth="1"/>
    <col min="8" max="8" width="11.28515625" bestFit="1" customWidth="1"/>
    <col min="9" max="9" width="21" bestFit="1" customWidth="1"/>
    <col min="10" max="10" width="11.28515625" bestFit="1" customWidth="1"/>
    <col min="11" max="11" width="20.5703125" bestFit="1" customWidth="1"/>
    <col min="12" max="12" width="11.28515625" bestFit="1" customWidth="1"/>
    <col min="13" max="13" width="22.7109375" bestFit="1" customWidth="1"/>
    <col min="14" max="14" width="11.28515625" bestFit="1" customWidth="1"/>
  </cols>
  <sheetData>
    <row r="1" spans="1:14" ht="16.5" thickBot="1" x14ac:dyDescent="0.3">
      <c r="A1" s="47" t="s">
        <v>159</v>
      </c>
      <c r="B1" s="49" t="s">
        <v>154</v>
      </c>
      <c r="C1" s="48" t="s">
        <v>155</v>
      </c>
      <c r="D1" s="48" t="s">
        <v>154</v>
      </c>
      <c r="E1" s="47" t="s">
        <v>156</v>
      </c>
      <c r="F1" s="49" t="s">
        <v>154</v>
      </c>
      <c r="G1" s="48" t="s">
        <v>157</v>
      </c>
      <c r="H1" s="48" t="s">
        <v>154</v>
      </c>
      <c r="I1" s="47" t="s">
        <v>164</v>
      </c>
      <c r="J1" s="49" t="s">
        <v>154</v>
      </c>
      <c r="K1" s="48" t="s">
        <v>158</v>
      </c>
      <c r="L1" s="48" t="s">
        <v>154</v>
      </c>
      <c r="M1" s="47" t="s">
        <v>165</v>
      </c>
      <c r="N1" s="49" t="s">
        <v>154</v>
      </c>
    </row>
    <row r="2" spans="1:14" x14ac:dyDescent="0.25">
      <c r="A2" s="65" t="s">
        <v>176</v>
      </c>
      <c r="B2" s="66" t="s">
        <v>177</v>
      </c>
      <c r="C2" s="51">
        <v>-3.14</v>
      </c>
      <c r="D2" s="52" t="s">
        <v>173</v>
      </c>
      <c r="E2" s="65" t="s">
        <v>178</v>
      </c>
      <c r="F2" s="66" t="s">
        <v>177</v>
      </c>
      <c r="G2" s="64">
        <v>1</v>
      </c>
      <c r="H2" s="52" t="s">
        <v>167</v>
      </c>
      <c r="I2" s="68">
        <v>-1.2</v>
      </c>
      <c r="J2" s="66" t="s">
        <v>173</v>
      </c>
      <c r="K2" s="64">
        <v>1</v>
      </c>
      <c r="L2" s="54" t="s">
        <v>162</v>
      </c>
      <c r="M2" s="68">
        <v>1</v>
      </c>
      <c r="N2" s="66" t="s">
        <v>180</v>
      </c>
    </row>
    <row r="3" spans="1:14" x14ac:dyDescent="0.25">
      <c r="A3" s="62" t="s">
        <v>166</v>
      </c>
      <c r="B3" s="50" t="s">
        <v>167</v>
      </c>
      <c r="C3" s="51">
        <v>-3</v>
      </c>
      <c r="D3" s="52" t="s">
        <v>177</v>
      </c>
      <c r="E3" s="62" t="s">
        <v>175</v>
      </c>
      <c r="F3" s="50" t="s">
        <v>173</v>
      </c>
      <c r="G3" s="64">
        <v>1</v>
      </c>
      <c r="H3" s="52" t="s">
        <v>177</v>
      </c>
      <c r="I3" s="53">
        <v>-0.3</v>
      </c>
      <c r="J3" s="50" t="s">
        <v>167</v>
      </c>
      <c r="K3" s="64">
        <v>1</v>
      </c>
      <c r="L3" s="52" t="s">
        <v>170</v>
      </c>
      <c r="M3" s="53">
        <v>4.5999999999999996</v>
      </c>
      <c r="N3" s="50" t="s">
        <v>173</v>
      </c>
    </row>
    <row r="4" spans="1:14" x14ac:dyDescent="0.25">
      <c r="A4" s="62" t="s">
        <v>184</v>
      </c>
      <c r="B4" s="50" t="s">
        <v>181</v>
      </c>
      <c r="C4" s="51">
        <v>-2</v>
      </c>
      <c r="D4" s="52" t="s">
        <v>181</v>
      </c>
      <c r="E4" s="62">
        <v>20240203</v>
      </c>
      <c r="F4" s="50" t="s">
        <v>186</v>
      </c>
      <c r="G4" s="64">
        <v>2</v>
      </c>
      <c r="H4" s="54" t="s">
        <v>162</v>
      </c>
      <c r="I4" s="53">
        <v>1</v>
      </c>
      <c r="J4" s="55" t="s">
        <v>162</v>
      </c>
      <c r="K4" s="64">
        <v>1</v>
      </c>
      <c r="L4" s="52" t="s">
        <v>173</v>
      </c>
      <c r="M4" s="53">
        <v>5.5</v>
      </c>
      <c r="N4" s="50" t="s">
        <v>167</v>
      </c>
    </row>
    <row r="5" spans="1:14" x14ac:dyDescent="0.25">
      <c r="A5" s="62" t="s">
        <v>174</v>
      </c>
      <c r="B5" s="50" t="s">
        <v>173</v>
      </c>
      <c r="C5" s="51">
        <v>-0.5</v>
      </c>
      <c r="D5" s="52" t="s">
        <v>167</v>
      </c>
      <c r="E5" s="62" t="s">
        <v>185</v>
      </c>
      <c r="F5" s="50" t="s">
        <v>179</v>
      </c>
      <c r="G5" s="64">
        <v>2</v>
      </c>
      <c r="H5" s="52" t="s">
        <v>170</v>
      </c>
      <c r="I5" s="56">
        <v>1.5</v>
      </c>
      <c r="J5" s="50" t="s">
        <v>179</v>
      </c>
      <c r="K5" s="64">
        <v>1</v>
      </c>
      <c r="L5" s="52" t="s">
        <v>179</v>
      </c>
      <c r="M5" s="53">
        <v>6</v>
      </c>
      <c r="N5" s="55" t="s">
        <v>162</v>
      </c>
    </row>
    <row r="6" spans="1:14" x14ac:dyDescent="0.25">
      <c r="A6" s="62" t="s">
        <v>160</v>
      </c>
      <c r="B6" s="50" t="s">
        <v>161</v>
      </c>
      <c r="C6" s="51">
        <v>-0.5</v>
      </c>
      <c r="D6" s="52" t="s">
        <v>186</v>
      </c>
      <c r="E6" s="62" t="s">
        <v>185</v>
      </c>
      <c r="F6" s="50" t="s">
        <v>181</v>
      </c>
      <c r="G6" s="64">
        <v>2</v>
      </c>
      <c r="H6" s="52" t="s">
        <v>179</v>
      </c>
      <c r="I6" s="53">
        <v>2</v>
      </c>
      <c r="J6" s="50" t="s">
        <v>180</v>
      </c>
      <c r="K6" s="64">
        <v>1</v>
      </c>
      <c r="L6" s="52" t="s">
        <v>180</v>
      </c>
      <c r="M6" s="53">
        <v>8</v>
      </c>
      <c r="N6" s="50" t="s">
        <v>179</v>
      </c>
    </row>
    <row r="7" spans="1:14" x14ac:dyDescent="0.25">
      <c r="A7" s="62" t="s">
        <v>182</v>
      </c>
      <c r="B7" s="50" t="s">
        <v>180</v>
      </c>
      <c r="C7" s="51">
        <v>0</v>
      </c>
      <c r="D7" s="52" t="s">
        <v>180</v>
      </c>
      <c r="E7" s="62" t="s">
        <v>183</v>
      </c>
      <c r="F7" s="50" t="s">
        <v>180</v>
      </c>
      <c r="G7" s="64">
        <v>2</v>
      </c>
      <c r="H7" s="52" t="s">
        <v>180</v>
      </c>
      <c r="I7" s="53">
        <v>2</v>
      </c>
      <c r="J7" s="50" t="s">
        <v>181</v>
      </c>
      <c r="K7" s="64">
        <v>12</v>
      </c>
      <c r="L7" s="52" t="s">
        <v>167</v>
      </c>
      <c r="M7" s="53" t="s">
        <v>172</v>
      </c>
      <c r="N7" s="50" t="s">
        <v>170</v>
      </c>
    </row>
    <row r="8" spans="1:14" x14ac:dyDescent="0.25">
      <c r="A8" s="62">
        <v>20231210</v>
      </c>
      <c r="B8" s="50" t="s">
        <v>179</v>
      </c>
      <c r="C8" s="51">
        <v>1</v>
      </c>
      <c r="D8" s="52" t="s">
        <v>179</v>
      </c>
      <c r="E8" s="62" t="s">
        <v>171</v>
      </c>
      <c r="F8" s="50" t="s">
        <v>170</v>
      </c>
      <c r="G8" s="64">
        <v>12</v>
      </c>
      <c r="H8" s="52" t="s">
        <v>173</v>
      </c>
      <c r="I8" s="53" t="s">
        <v>172</v>
      </c>
      <c r="J8" s="50" t="s">
        <v>170</v>
      </c>
      <c r="K8" s="64">
        <v>12</v>
      </c>
      <c r="L8" s="52" t="s">
        <v>177</v>
      </c>
      <c r="M8" s="56" t="s">
        <v>172</v>
      </c>
      <c r="N8" s="50" t="s">
        <v>177</v>
      </c>
    </row>
    <row r="9" spans="1:14" x14ac:dyDescent="0.25">
      <c r="A9" s="62" t="s">
        <v>169</v>
      </c>
      <c r="B9" s="50" t="s">
        <v>170</v>
      </c>
      <c r="C9" s="51">
        <v>2</v>
      </c>
      <c r="D9" s="52" t="s">
        <v>162</v>
      </c>
      <c r="E9" s="62" t="s">
        <v>163</v>
      </c>
      <c r="F9" s="50" t="s">
        <v>162</v>
      </c>
      <c r="G9" s="51" t="s">
        <v>172</v>
      </c>
      <c r="H9" s="52" t="s">
        <v>186</v>
      </c>
      <c r="I9" s="53" t="s">
        <v>172</v>
      </c>
      <c r="J9" s="50" t="s">
        <v>186</v>
      </c>
      <c r="K9" s="64">
        <v>12</v>
      </c>
      <c r="L9" s="52" t="s">
        <v>181</v>
      </c>
      <c r="M9" s="56" t="s">
        <v>172</v>
      </c>
      <c r="N9" s="50" t="s">
        <v>186</v>
      </c>
    </row>
    <row r="10" spans="1:14" ht="15.75" thickBot="1" x14ac:dyDescent="0.3">
      <c r="A10" s="63">
        <v>20231230</v>
      </c>
      <c r="B10" s="57" t="s">
        <v>186</v>
      </c>
      <c r="C10" s="58">
        <v>5</v>
      </c>
      <c r="D10" s="59" t="s">
        <v>170</v>
      </c>
      <c r="E10" s="63" t="s">
        <v>168</v>
      </c>
      <c r="F10" s="57" t="s">
        <v>167</v>
      </c>
      <c r="G10" s="60" t="s">
        <v>172</v>
      </c>
      <c r="H10" s="59" t="s">
        <v>181</v>
      </c>
      <c r="I10" s="61" t="s">
        <v>172</v>
      </c>
      <c r="J10" s="57" t="s">
        <v>177</v>
      </c>
      <c r="K10" s="58" t="s">
        <v>172</v>
      </c>
      <c r="L10" s="59" t="s">
        <v>186</v>
      </c>
      <c r="M10" s="61" t="s">
        <v>172</v>
      </c>
      <c r="N10" s="57" t="s">
        <v>181</v>
      </c>
    </row>
    <row r="11" spans="1:14" ht="15.75" thickBot="1" x14ac:dyDescent="0.3">
      <c r="A11" s="69" t="s">
        <v>174</v>
      </c>
      <c r="B11" s="70" t="s">
        <v>188</v>
      </c>
      <c r="C11" s="71">
        <f>AVERAGE(C2:C10)</f>
        <v>-0.12666666666666673</v>
      </c>
      <c r="D11" s="72" t="s">
        <v>188</v>
      </c>
      <c r="E11" s="73">
        <v>20230204</v>
      </c>
      <c r="F11" s="70" t="s">
        <v>188</v>
      </c>
      <c r="G11" s="74">
        <f>MODE(G2:G10)</f>
        <v>2</v>
      </c>
      <c r="H11" s="72" t="s">
        <v>189</v>
      </c>
      <c r="I11" s="71">
        <f>AVERAGE(I2:I10)</f>
        <v>0.83333333333333337</v>
      </c>
      <c r="J11" s="70" t="s">
        <v>188</v>
      </c>
      <c r="K11" s="74">
        <f>MODE(K2:K10)</f>
        <v>1</v>
      </c>
      <c r="L11" s="72" t="s">
        <v>189</v>
      </c>
      <c r="M11" s="71">
        <f>AVERAGE(M2:M10)</f>
        <v>5.0200000000000005</v>
      </c>
      <c r="N11" s="70" t="s">
        <v>188</v>
      </c>
    </row>
    <row r="12" spans="1:14" ht="15.75" thickBot="1" x14ac:dyDescent="0.3">
      <c r="A12" s="67" t="s">
        <v>169</v>
      </c>
      <c r="B12" s="57" t="s">
        <v>187</v>
      </c>
      <c r="C12" s="59" t="s">
        <v>190</v>
      </c>
      <c r="D12" s="59" t="s">
        <v>187</v>
      </c>
      <c r="E12" s="67" t="s">
        <v>191</v>
      </c>
      <c r="F12" s="57" t="s">
        <v>187</v>
      </c>
      <c r="G12" s="60">
        <v>1</v>
      </c>
      <c r="H12" s="59" t="s">
        <v>187</v>
      </c>
      <c r="I12" s="61">
        <v>1.2</v>
      </c>
      <c r="J12" s="57" t="s">
        <v>187</v>
      </c>
      <c r="K12" s="60">
        <v>2</v>
      </c>
      <c r="L12" s="59" t="s">
        <v>187</v>
      </c>
      <c r="M12" s="61">
        <v>6.5</v>
      </c>
      <c r="N12" s="57" t="s">
        <v>187</v>
      </c>
    </row>
    <row r="13" spans="1:14" x14ac:dyDescent="0.25">
      <c r="A13" s="46"/>
      <c r="B13" s="46"/>
      <c r="C13" s="46"/>
      <c r="D13" s="46"/>
      <c r="E13" s="42"/>
      <c r="F13" s="46"/>
      <c r="G13" s="46"/>
      <c r="H13" s="46"/>
      <c r="I13" s="46"/>
      <c r="J13" s="46"/>
      <c r="K13" s="46"/>
      <c r="L13" s="46"/>
      <c r="M13" s="46"/>
      <c r="N13" s="46"/>
    </row>
    <row r="14" spans="1:14" x14ac:dyDescent="0.25">
      <c r="A14" s="46"/>
      <c r="B14" s="7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4" x14ac:dyDescent="0.2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</row>
    <row r="20" spans="1:14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</row>
    <row r="22" spans="1:14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</sheetData>
  <sortState xmlns:xlrd2="http://schemas.microsoft.com/office/spreadsheetml/2017/richdata2" ref="M2:N10">
    <sortCondition ref="M2:M1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F2F0-4D01-462E-B4DD-32B965F5DF52}">
  <dimension ref="A1:E12"/>
  <sheetViews>
    <sheetView workbookViewId="0"/>
  </sheetViews>
  <sheetFormatPr defaultRowHeight="15" x14ac:dyDescent="0.25"/>
  <cols>
    <col min="1" max="1" width="31" bestFit="1" customWidth="1"/>
    <col min="2" max="2" width="25.7109375" bestFit="1" customWidth="1"/>
    <col min="3" max="3" width="32.5703125" bestFit="1" customWidth="1"/>
    <col min="4" max="4" width="29" bestFit="1" customWidth="1"/>
    <col min="5" max="5" width="30.85546875" bestFit="1" customWidth="1"/>
    <col min="6" max="6" width="10" bestFit="1" customWidth="1"/>
  </cols>
  <sheetData>
    <row r="1" spans="1:5" ht="15.75" x14ac:dyDescent="0.25">
      <c r="A1" s="39" t="s">
        <v>49</v>
      </c>
      <c r="B1" s="39" t="s">
        <v>103</v>
      </c>
      <c r="C1" s="39" t="s">
        <v>50</v>
      </c>
      <c r="D1" s="39" t="s">
        <v>51</v>
      </c>
      <c r="E1" s="39" t="s">
        <v>52</v>
      </c>
    </row>
    <row r="2" spans="1:5" x14ac:dyDescent="0.25">
      <c r="A2" s="42" t="s">
        <v>107</v>
      </c>
      <c r="B2" s="42" t="s">
        <v>116</v>
      </c>
      <c r="C2" s="42" t="s">
        <v>130</v>
      </c>
      <c r="D2" s="44" t="s">
        <v>151</v>
      </c>
      <c r="E2" s="44" t="s">
        <v>151</v>
      </c>
    </row>
    <row r="3" spans="1:5" x14ac:dyDescent="0.25">
      <c r="A3" s="42" t="s">
        <v>106</v>
      </c>
      <c r="B3" s="42" t="s">
        <v>150</v>
      </c>
      <c r="C3" s="42" t="s">
        <v>112</v>
      </c>
      <c r="D3" s="42" t="s">
        <v>141</v>
      </c>
      <c r="E3" s="42" t="s">
        <v>125</v>
      </c>
    </row>
    <row r="4" spans="1:5" x14ac:dyDescent="0.25">
      <c r="A4" s="42" t="s">
        <v>113</v>
      </c>
      <c r="B4" s="42" t="s">
        <v>139</v>
      </c>
      <c r="C4" s="43" t="s">
        <v>145</v>
      </c>
      <c r="D4" s="42" t="s">
        <v>136</v>
      </c>
      <c r="E4" s="42" t="s">
        <v>126</v>
      </c>
    </row>
    <row r="5" spans="1:5" x14ac:dyDescent="0.25">
      <c r="A5" s="43" t="s">
        <v>143</v>
      </c>
      <c r="B5" s="45" t="s">
        <v>147</v>
      </c>
      <c r="C5" s="42" t="s">
        <v>109</v>
      </c>
      <c r="D5" s="42" t="s">
        <v>118</v>
      </c>
      <c r="E5" s="42" t="s">
        <v>137</v>
      </c>
    </row>
    <row r="6" spans="1:5" x14ac:dyDescent="0.25">
      <c r="A6" s="42" t="s">
        <v>110</v>
      </c>
      <c r="B6" s="42" t="s">
        <v>104</v>
      </c>
      <c r="C6" s="42" t="s">
        <v>105</v>
      </c>
      <c r="D6" s="42" t="s">
        <v>131</v>
      </c>
      <c r="E6" s="42" t="s">
        <v>119</v>
      </c>
    </row>
    <row r="7" spans="1:5" x14ac:dyDescent="0.25">
      <c r="A7" s="45" t="s">
        <v>149</v>
      </c>
      <c r="B7" s="42" t="s">
        <v>111</v>
      </c>
      <c r="C7" s="45" t="s">
        <v>148</v>
      </c>
      <c r="D7" s="42" t="s">
        <v>127</v>
      </c>
      <c r="E7" s="42" t="s">
        <v>132</v>
      </c>
    </row>
    <row r="8" spans="1:5" x14ac:dyDescent="0.25">
      <c r="A8" s="42" t="s">
        <v>138</v>
      </c>
      <c r="B8" s="43" t="s">
        <v>144</v>
      </c>
      <c r="C8" s="42" t="s">
        <v>114</v>
      </c>
      <c r="D8" s="42" t="s">
        <v>122</v>
      </c>
      <c r="E8" s="42" t="s">
        <v>142</v>
      </c>
    </row>
    <row r="9" spans="1:5" x14ac:dyDescent="0.25">
      <c r="A9" s="42" t="s">
        <v>115</v>
      </c>
      <c r="B9" s="42" t="s">
        <v>129</v>
      </c>
      <c r="C9" s="42" t="s">
        <v>117</v>
      </c>
      <c r="D9" s="45" t="s">
        <v>146</v>
      </c>
      <c r="E9" s="45" t="s">
        <v>152</v>
      </c>
    </row>
    <row r="10" spans="1:5" x14ac:dyDescent="0.25">
      <c r="A10" s="42" t="s">
        <v>128</v>
      </c>
      <c r="B10" s="42" t="s">
        <v>134</v>
      </c>
      <c r="C10" s="42" t="s">
        <v>140</v>
      </c>
      <c r="D10" s="42" t="s">
        <v>120</v>
      </c>
      <c r="E10" s="42" t="s">
        <v>123</v>
      </c>
    </row>
    <row r="11" spans="1:5" x14ac:dyDescent="0.25">
      <c r="A11" s="42" t="s">
        <v>133</v>
      </c>
      <c r="B11" s="42" t="s">
        <v>108</v>
      </c>
      <c r="C11" s="42" t="s">
        <v>135</v>
      </c>
      <c r="D11" s="42" t="s">
        <v>124</v>
      </c>
      <c r="E11" s="42" t="s">
        <v>121</v>
      </c>
    </row>
    <row r="12" spans="1:5" x14ac:dyDescent="0.25">
      <c r="E12" s="38"/>
    </row>
  </sheetData>
  <sortState xmlns:xlrd2="http://schemas.microsoft.com/office/spreadsheetml/2017/richdata2" ref="C2:C11">
    <sortCondition ref="C2:C11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5631-ED4B-49E6-BE12-311980D182ED}">
  <dimension ref="A1:E13"/>
  <sheetViews>
    <sheetView workbookViewId="0"/>
  </sheetViews>
  <sheetFormatPr defaultRowHeight="15" x14ac:dyDescent="0.25"/>
  <cols>
    <col min="1" max="1" width="31" bestFit="1" customWidth="1"/>
    <col min="2" max="2" width="25.7109375" bestFit="1" customWidth="1"/>
    <col min="3" max="3" width="32.5703125" bestFit="1" customWidth="1"/>
    <col min="4" max="4" width="29" bestFit="1" customWidth="1"/>
    <col min="5" max="5" width="30.85546875" bestFit="1" customWidth="1"/>
  </cols>
  <sheetData>
    <row r="1" spans="1:5" ht="15.75" x14ac:dyDescent="0.25">
      <c r="A1" s="39" t="s">
        <v>49</v>
      </c>
      <c r="B1" s="39" t="s">
        <v>103</v>
      </c>
      <c r="C1" s="39" t="s">
        <v>50</v>
      </c>
      <c r="D1" s="39" t="s">
        <v>51</v>
      </c>
      <c r="E1" s="39" t="s">
        <v>52</v>
      </c>
    </row>
    <row r="2" spans="1:5" x14ac:dyDescent="0.25">
      <c r="A2" s="40" t="s">
        <v>93</v>
      </c>
      <c r="B2" s="40" t="s">
        <v>94</v>
      </c>
      <c r="C2" s="40" t="s">
        <v>95</v>
      </c>
      <c r="D2" s="40" t="s">
        <v>96</v>
      </c>
      <c r="E2" s="40" t="s">
        <v>96</v>
      </c>
    </row>
    <row r="3" spans="1:5" x14ac:dyDescent="0.25">
      <c r="A3" s="38" t="s">
        <v>53</v>
      </c>
      <c r="B3" s="38" t="s">
        <v>63</v>
      </c>
      <c r="C3" s="38" t="s">
        <v>75</v>
      </c>
      <c r="D3" s="38" t="s">
        <v>55</v>
      </c>
      <c r="E3" s="38" t="s">
        <v>61</v>
      </c>
    </row>
    <row r="4" spans="1:5" x14ac:dyDescent="0.25">
      <c r="A4" s="38" t="s">
        <v>73</v>
      </c>
      <c r="B4" s="38" t="s">
        <v>58</v>
      </c>
      <c r="C4" s="38" t="s">
        <v>54</v>
      </c>
      <c r="D4" s="38" t="s">
        <v>60</v>
      </c>
      <c r="E4" s="38" t="s">
        <v>82</v>
      </c>
    </row>
    <row r="5" spans="1:5" x14ac:dyDescent="0.25">
      <c r="A5" s="38" t="s">
        <v>78</v>
      </c>
      <c r="B5" s="38" t="s">
        <v>89</v>
      </c>
      <c r="C5" s="41" t="s">
        <v>99</v>
      </c>
      <c r="D5" s="38" t="s">
        <v>76</v>
      </c>
      <c r="E5" s="38" t="s">
        <v>87</v>
      </c>
    </row>
    <row r="6" spans="1:5" x14ac:dyDescent="0.25">
      <c r="A6" s="38" t="s">
        <v>88</v>
      </c>
      <c r="B6" s="38" t="s">
        <v>69</v>
      </c>
      <c r="C6" s="38" t="s">
        <v>80</v>
      </c>
      <c r="D6" s="38" t="s">
        <v>81</v>
      </c>
      <c r="E6" s="38" t="s">
        <v>91</v>
      </c>
    </row>
    <row r="7" spans="1:5" x14ac:dyDescent="0.25">
      <c r="A7" s="38" t="s">
        <v>62</v>
      </c>
      <c r="B7" s="41" t="s">
        <v>98</v>
      </c>
      <c r="C7" s="38" t="s">
        <v>85</v>
      </c>
      <c r="D7" s="38" t="s">
        <v>92</v>
      </c>
      <c r="E7" s="38" t="s">
        <v>66</v>
      </c>
    </row>
    <row r="8" spans="1:5" x14ac:dyDescent="0.25">
      <c r="A8" s="41" t="s">
        <v>97</v>
      </c>
      <c r="B8" s="38" t="s">
        <v>64</v>
      </c>
      <c r="C8" s="38" t="s">
        <v>90</v>
      </c>
      <c r="D8" s="41" t="s">
        <v>100</v>
      </c>
      <c r="E8" s="38" t="s">
        <v>72</v>
      </c>
    </row>
    <row r="9" spans="1:5" x14ac:dyDescent="0.25">
      <c r="A9" s="38" t="s">
        <v>83</v>
      </c>
      <c r="B9" s="38" t="s">
        <v>79</v>
      </c>
      <c r="C9" s="38" t="s">
        <v>65</v>
      </c>
      <c r="D9" s="38" t="s">
        <v>86</v>
      </c>
      <c r="E9" s="41" t="s">
        <v>101</v>
      </c>
    </row>
    <row r="10" spans="1:5" x14ac:dyDescent="0.25">
      <c r="A10" s="38" t="s">
        <v>68</v>
      </c>
      <c r="B10" s="38" t="s">
        <v>84</v>
      </c>
      <c r="C10" s="38" t="s">
        <v>59</v>
      </c>
      <c r="D10" s="38" t="s">
        <v>67</v>
      </c>
      <c r="E10" s="38" t="s">
        <v>56</v>
      </c>
    </row>
    <row r="11" spans="1:5" x14ac:dyDescent="0.25">
      <c r="A11" s="38" t="s">
        <v>57</v>
      </c>
      <c r="B11" s="38" t="s">
        <v>74</v>
      </c>
      <c r="C11" s="38" t="s">
        <v>70</v>
      </c>
      <c r="D11" s="38" t="s">
        <v>71</v>
      </c>
      <c r="E11" s="38" t="s">
        <v>77</v>
      </c>
    </row>
    <row r="13" spans="1:5" x14ac:dyDescent="0.25">
      <c r="E13" s="3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Stats</vt:lpstr>
      <vt:lpstr>2025-2026</vt:lpstr>
      <vt:lpstr>2024-2025</vt:lpstr>
      <vt:lpstr>2023-2024</vt:lpstr>
      <vt:lpstr>2022-2023</vt:lpstr>
      <vt:lpstr>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Manousos, Peter C</dc:creator>
  <cp:lastModifiedBy>Manousos, Peter C</cp:lastModifiedBy>
  <dcterms:created xsi:type="dcterms:W3CDTF">2018-10-16T19:33:59Z</dcterms:created>
  <dcterms:modified xsi:type="dcterms:W3CDTF">2025-11-07T17:43:40Z</dcterms:modified>
</cp:coreProperties>
</file>